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hja.local\Levyjaot\Kotihakemisto\meliina.partio\Omat\Metsästrategia\Skype-ohjeita\"/>
    </mc:Choice>
  </mc:AlternateContent>
  <xr:revisionPtr revIDLastSave="0" documentId="13_ncr:1_{02D4CBA0-2DE4-41AC-9738-ED1A7C7A1D18}" xr6:coauthVersionLast="45" xr6:coauthVersionMax="45" xr10:uidLastSave="{00000000-0000-0000-0000-000000000000}"/>
  <bookViews>
    <workbookView xWindow="-110" yWindow="-110" windowWidth="19420" windowHeight="10560" activeTab="2" xr2:uid="{E461BAC2-CBC5-40A5-BBDD-B8868C1349B9}"/>
  </bookViews>
  <sheets>
    <sheet name="MA" sheetId="8" r:id="rId1"/>
    <sheet name="BordaCount" sheetId="5" r:id="rId2"/>
    <sheet name="Korkolaskenta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7" l="1"/>
  <c r="F21" i="7"/>
  <c r="J20" i="7"/>
  <c r="N20" i="7"/>
  <c r="G36" i="5" l="1"/>
  <c r="G35" i="8" l="1"/>
  <c r="F35" i="8"/>
  <c r="H35" i="8" s="1"/>
  <c r="J35" i="8" s="1"/>
  <c r="E35" i="8"/>
  <c r="G34" i="8"/>
  <c r="H34" i="8" s="1"/>
  <c r="N34" i="8" s="1"/>
  <c r="F34" i="8"/>
  <c r="E34" i="8"/>
  <c r="G33" i="8"/>
  <c r="F33" i="8"/>
  <c r="E33" i="8"/>
  <c r="G32" i="8"/>
  <c r="H32" i="8" s="1"/>
  <c r="F32" i="8"/>
  <c r="E32" i="8"/>
  <c r="G31" i="8"/>
  <c r="F31" i="8"/>
  <c r="E31" i="8"/>
  <c r="N30" i="8"/>
  <c r="G30" i="8"/>
  <c r="H30" i="8" s="1"/>
  <c r="F30" i="8"/>
  <c r="E30" i="8"/>
  <c r="R30" i="8" s="1"/>
  <c r="G29" i="8"/>
  <c r="F29" i="8"/>
  <c r="E29" i="8"/>
  <c r="G28" i="8"/>
  <c r="H28" i="8" s="1"/>
  <c r="F28" i="8"/>
  <c r="E28" i="8"/>
  <c r="R28" i="8" s="1"/>
  <c r="G27" i="8"/>
  <c r="F27" i="8"/>
  <c r="H27" i="8" s="1"/>
  <c r="J27" i="8" s="1"/>
  <c r="E27" i="8"/>
  <c r="G26" i="8"/>
  <c r="H26" i="8" s="1"/>
  <c r="N26" i="8" s="1"/>
  <c r="F26" i="8"/>
  <c r="E26" i="8"/>
  <c r="G25" i="8"/>
  <c r="F25" i="8"/>
  <c r="E25" i="8"/>
  <c r="G24" i="8"/>
  <c r="H24" i="8" s="1"/>
  <c r="F24" i="8"/>
  <c r="E24" i="8"/>
  <c r="G23" i="8"/>
  <c r="F23" i="8"/>
  <c r="E23" i="8"/>
  <c r="N22" i="8"/>
  <c r="G22" i="8"/>
  <c r="F22" i="8"/>
  <c r="H22" i="8" s="1"/>
  <c r="E22" i="8"/>
  <c r="R22" i="8" s="1"/>
  <c r="H21" i="8"/>
  <c r="G21" i="8"/>
  <c r="F21" i="8"/>
  <c r="E21" i="8"/>
  <c r="P21" i="8" s="1"/>
  <c r="G20" i="8"/>
  <c r="F20" i="8"/>
  <c r="H20" i="8" s="1"/>
  <c r="P20" i="8" s="1"/>
  <c r="E20" i="8"/>
  <c r="G19" i="8"/>
  <c r="F19" i="8"/>
  <c r="H19" i="8" s="1"/>
  <c r="E19" i="8"/>
  <c r="R19" i="8" s="1"/>
  <c r="G18" i="8"/>
  <c r="F18" i="8"/>
  <c r="H18" i="8" s="1"/>
  <c r="E18" i="8"/>
  <c r="G17" i="8"/>
  <c r="F17" i="8"/>
  <c r="H17" i="8" s="1"/>
  <c r="E17" i="8"/>
  <c r="G16" i="8"/>
  <c r="F16" i="8"/>
  <c r="H16" i="8" s="1"/>
  <c r="E16" i="8"/>
  <c r="P15" i="8"/>
  <c r="H15" i="8"/>
  <c r="R15" i="8" s="1"/>
  <c r="G15" i="8"/>
  <c r="F15" i="8"/>
  <c r="E15" i="8"/>
  <c r="G14" i="8"/>
  <c r="H14" i="8" s="1"/>
  <c r="F14" i="8"/>
  <c r="E14" i="8"/>
  <c r="H13" i="8"/>
  <c r="R13" i="8" s="1"/>
  <c r="G13" i="8"/>
  <c r="F13" i="8"/>
  <c r="E13" i="8"/>
  <c r="L13" i="8" s="1"/>
  <c r="H12" i="8"/>
  <c r="P12" i="8" s="1"/>
  <c r="G12" i="8"/>
  <c r="F12" i="8"/>
  <c r="E12" i="8"/>
  <c r="G11" i="8"/>
  <c r="F11" i="8"/>
  <c r="H11" i="8" s="1"/>
  <c r="E11" i="8"/>
  <c r="P11" i="8" s="1"/>
  <c r="G10" i="8"/>
  <c r="F10" i="8"/>
  <c r="H10" i="8" s="1"/>
  <c r="E10" i="8"/>
  <c r="G9" i="8"/>
  <c r="F9" i="8"/>
  <c r="H9" i="8" s="1"/>
  <c r="E9" i="8"/>
  <c r="G8" i="8"/>
  <c r="F8" i="8"/>
  <c r="H8" i="8" s="1"/>
  <c r="E8" i="8"/>
  <c r="P7" i="8"/>
  <c r="H7" i="8"/>
  <c r="R7" i="8" s="1"/>
  <c r="G7" i="8"/>
  <c r="F7" i="8"/>
  <c r="E7" i="8"/>
  <c r="G6" i="8"/>
  <c r="H6" i="8" s="1"/>
  <c r="F6" i="8"/>
  <c r="E6" i="8"/>
  <c r="H5" i="8"/>
  <c r="R5" i="8" s="1"/>
  <c r="G5" i="8"/>
  <c r="F5" i="8"/>
  <c r="E5" i="8"/>
  <c r="T4" i="8"/>
  <c r="H4" i="8"/>
  <c r="G4" i="8"/>
  <c r="F4" i="8"/>
  <c r="E4" i="8"/>
  <c r="G3" i="8"/>
  <c r="F3" i="8"/>
  <c r="H3" i="8" s="1"/>
  <c r="E3" i="8"/>
  <c r="J3" i="8" s="1"/>
  <c r="G2" i="8"/>
  <c r="F2" i="8"/>
  <c r="H2" i="8" s="1"/>
  <c r="L2" i="8" s="1"/>
  <c r="E2" i="8"/>
  <c r="T10" i="8" l="1"/>
  <c r="N10" i="8"/>
  <c r="P10" i="8"/>
  <c r="L10" i="8"/>
  <c r="L8" i="8"/>
  <c r="T8" i="8"/>
  <c r="P8" i="8"/>
  <c r="N8" i="8"/>
  <c r="L16" i="8"/>
  <c r="P16" i="8"/>
  <c r="T16" i="8"/>
  <c r="N16" i="8"/>
  <c r="T2" i="8"/>
  <c r="P2" i="8"/>
  <c r="N2" i="8"/>
  <c r="T18" i="8"/>
  <c r="N18" i="8"/>
  <c r="L18" i="8"/>
  <c r="P18" i="8"/>
  <c r="P9" i="8"/>
  <c r="R9" i="8"/>
  <c r="L9" i="8"/>
  <c r="P17" i="8"/>
  <c r="R17" i="8"/>
  <c r="L17" i="8"/>
  <c r="R2" i="8"/>
  <c r="N3" i="8"/>
  <c r="R3" i="8"/>
  <c r="P3" i="8"/>
  <c r="L3" i="8"/>
  <c r="T3" i="8"/>
  <c r="P4" i="8"/>
  <c r="L4" i="8"/>
  <c r="N4" i="8"/>
  <c r="N6" i="8"/>
  <c r="L6" i="8"/>
  <c r="T6" i="8"/>
  <c r="P6" i="8"/>
  <c r="N14" i="8"/>
  <c r="T14" i="8"/>
  <c r="L14" i="8"/>
  <c r="P14" i="8"/>
  <c r="R10" i="8"/>
  <c r="J11" i="8"/>
  <c r="T24" i="8"/>
  <c r="L24" i="8"/>
  <c r="P24" i="8"/>
  <c r="T32" i="8"/>
  <c r="L32" i="8"/>
  <c r="P32" i="8"/>
  <c r="N5" i="8"/>
  <c r="T5" i="8"/>
  <c r="N32" i="8"/>
  <c r="L5" i="8"/>
  <c r="N7" i="8"/>
  <c r="J7" i="8"/>
  <c r="T7" i="8"/>
  <c r="N12" i="8"/>
  <c r="R14" i="8"/>
  <c r="N15" i="8"/>
  <c r="J15" i="8"/>
  <c r="T15" i="8"/>
  <c r="L20" i="8"/>
  <c r="H23" i="8"/>
  <c r="J23" i="8" s="1"/>
  <c r="R24" i="8"/>
  <c r="P25" i="8"/>
  <c r="L25" i="8"/>
  <c r="R25" i="8"/>
  <c r="T28" i="8"/>
  <c r="L28" i="8"/>
  <c r="P28" i="8"/>
  <c r="H31" i="8"/>
  <c r="J31" i="8" s="1"/>
  <c r="R32" i="8"/>
  <c r="N33" i="8"/>
  <c r="T33" i="8"/>
  <c r="N11" i="8"/>
  <c r="T11" i="8"/>
  <c r="T12" i="8"/>
  <c r="R18" i="8"/>
  <c r="N19" i="8"/>
  <c r="T19" i="8"/>
  <c r="L19" i="8"/>
  <c r="J19" i="8"/>
  <c r="T20" i="8"/>
  <c r="R4" i="8"/>
  <c r="J5" i="8"/>
  <c r="L11" i="8"/>
  <c r="R12" i="8"/>
  <c r="L12" i="8"/>
  <c r="N13" i="8"/>
  <c r="J13" i="8"/>
  <c r="T13" i="8"/>
  <c r="P19" i="8"/>
  <c r="N21" i="8"/>
  <c r="T21" i="8"/>
  <c r="L21" i="8"/>
  <c r="J21" i="8"/>
  <c r="T22" i="8"/>
  <c r="P22" i="8"/>
  <c r="P23" i="8"/>
  <c r="N23" i="8"/>
  <c r="L23" i="8"/>
  <c r="R23" i="8"/>
  <c r="N24" i="8"/>
  <c r="T26" i="8"/>
  <c r="L26" i="8"/>
  <c r="P26" i="8"/>
  <c r="H29" i="8"/>
  <c r="N29" i="8" s="1"/>
  <c r="T34" i="8"/>
  <c r="L34" i="8"/>
  <c r="P34" i="8"/>
  <c r="R6" i="8"/>
  <c r="P5" i="8"/>
  <c r="L7" i="8"/>
  <c r="R8" i="8"/>
  <c r="N9" i="8"/>
  <c r="J9" i="8"/>
  <c r="T9" i="8"/>
  <c r="R11" i="8"/>
  <c r="P13" i="8"/>
  <c r="L15" i="8"/>
  <c r="R16" i="8"/>
  <c r="N17" i="8"/>
  <c r="J17" i="8"/>
  <c r="T17" i="8"/>
  <c r="R20" i="8"/>
  <c r="N20" i="8"/>
  <c r="R21" i="8"/>
  <c r="L22" i="8"/>
  <c r="H25" i="8"/>
  <c r="J25" i="8" s="1"/>
  <c r="R26" i="8"/>
  <c r="P27" i="8"/>
  <c r="N27" i="8"/>
  <c r="T27" i="8"/>
  <c r="L27" i="8"/>
  <c r="R27" i="8"/>
  <c r="N28" i="8"/>
  <c r="T30" i="8"/>
  <c r="L30" i="8"/>
  <c r="P30" i="8"/>
  <c r="H33" i="8"/>
  <c r="J33" i="8" s="1"/>
  <c r="R34" i="8"/>
  <c r="P35" i="8"/>
  <c r="N35" i="8"/>
  <c r="T35" i="8"/>
  <c r="L35" i="8"/>
  <c r="R35" i="8"/>
  <c r="J2" i="8"/>
  <c r="J4" i="8"/>
  <c r="J6" i="8"/>
  <c r="J8" i="8"/>
  <c r="J10" i="8"/>
  <c r="J12" i="8"/>
  <c r="J14" i="8"/>
  <c r="J16" i="8"/>
  <c r="J18" i="8"/>
  <c r="J20" i="8"/>
  <c r="J22" i="8"/>
  <c r="J24" i="8"/>
  <c r="J26" i="8"/>
  <c r="J28" i="8"/>
  <c r="J30" i="8"/>
  <c r="J32" i="8"/>
  <c r="J34" i="8"/>
  <c r="I36" i="5"/>
  <c r="K36" i="5"/>
  <c r="M36" i="5"/>
  <c r="O36" i="5"/>
  <c r="Q36" i="5"/>
  <c r="G2" i="5"/>
  <c r="G3" i="5"/>
  <c r="F2" i="7"/>
  <c r="J2" i="7"/>
  <c r="N2" i="7"/>
  <c r="F3" i="7"/>
  <c r="J3" i="7"/>
  <c r="N3" i="7"/>
  <c r="F4" i="7"/>
  <c r="J4" i="7"/>
  <c r="N4" i="7"/>
  <c r="D5" i="7"/>
  <c r="F5" i="7" s="1"/>
  <c r="E5" i="7"/>
  <c r="H5" i="7"/>
  <c r="J5" i="7" s="1"/>
  <c r="L5" i="7"/>
  <c r="N5" i="7" s="1"/>
  <c r="D6" i="7"/>
  <c r="E6" i="7"/>
  <c r="H6" i="7"/>
  <c r="J6" i="7" s="1"/>
  <c r="L6" i="7"/>
  <c r="N6" i="7" s="1"/>
  <c r="D7" i="7"/>
  <c r="E7" i="7"/>
  <c r="F7" i="7"/>
  <c r="J7" i="7"/>
  <c r="L7" i="7"/>
  <c r="N7" i="7" s="1"/>
  <c r="F8" i="7"/>
  <c r="J8" i="7"/>
  <c r="N8" i="7"/>
  <c r="D9" i="7"/>
  <c r="E9" i="7"/>
  <c r="J9" i="7"/>
  <c r="L9" i="7"/>
  <c r="N9" i="7" s="1"/>
  <c r="F10" i="7"/>
  <c r="J10" i="7"/>
  <c r="N10" i="7"/>
  <c r="F11" i="7"/>
  <c r="J11" i="7"/>
  <c r="N11" i="7"/>
  <c r="D12" i="7"/>
  <c r="E12" i="7"/>
  <c r="F12" i="7"/>
  <c r="H12" i="7"/>
  <c r="J12" i="7" s="1"/>
  <c r="L12" i="7"/>
  <c r="N12" i="7" s="1"/>
  <c r="F13" i="7"/>
  <c r="J13" i="7"/>
  <c r="N13" i="7"/>
  <c r="F14" i="7"/>
  <c r="J14" i="7"/>
  <c r="N14" i="7"/>
  <c r="D15" i="7"/>
  <c r="E15" i="7"/>
  <c r="H15" i="7"/>
  <c r="J15" i="7"/>
  <c r="L15" i="7"/>
  <c r="D16" i="7"/>
  <c r="E16" i="7"/>
  <c r="H16" i="7"/>
  <c r="J16" i="7"/>
  <c r="L16" i="7"/>
  <c r="N16" i="7" s="1"/>
  <c r="D18" i="7"/>
  <c r="E18" i="7"/>
  <c r="H18" i="7"/>
  <c r="J18" i="7" s="1"/>
  <c r="L18" i="7"/>
  <c r="N18" i="7" s="1"/>
  <c r="E19" i="7"/>
  <c r="F19" i="7"/>
  <c r="H19" i="7"/>
  <c r="J19" i="7" s="1"/>
  <c r="L19" i="7"/>
  <c r="N19" i="7" s="1"/>
  <c r="J21" i="7"/>
  <c r="N21" i="7"/>
  <c r="F22" i="7"/>
  <c r="J22" i="7"/>
  <c r="N22" i="7"/>
  <c r="F23" i="7"/>
  <c r="J23" i="7"/>
  <c r="N23" i="7"/>
  <c r="T31" i="8" l="1"/>
  <c r="R29" i="8"/>
  <c r="P29" i="8"/>
  <c r="N31" i="8"/>
  <c r="L29" i="8"/>
  <c r="L36" i="8" s="1"/>
  <c r="J29" i="8"/>
  <c r="J36" i="8" s="1"/>
  <c r="R33" i="8"/>
  <c r="P33" i="8"/>
  <c r="T25" i="8"/>
  <c r="T36" i="8" s="1"/>
  <c r="R31" i="8"/>
  <c r="R36" i="8" s="1"/>
  <c r="P31" i="8"/>
  <c r="T29" i="8"/>
  <c r="P36" i="8"/>
  <c r="T23" i="8"/>
  <c r="L33" i="8"/>
  <c r="N25" i="8"/>
  <c r="N36" i="8" s="1"/>
  <c r="L31" i="8"/>
  <c r="E17" i="7"/>
  <c r="L17" i="7"/>
  <c r="N17" i="7" s="1"/>
  <c r="H17" i="7"/>
  <c r="J17" i="7" s="1"/>
  <c r="F16" i="7"/>
  <c r="F6" i="7"/>
  <c r="F18" i="7"/>
  <c r="F9" i="7"/>
  <c r="F15" i="7"/>
  <c r="D17" i="7"/>
  <c r="F17" i="7" s="1"/>
  <c r="N15" i="7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2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</calcChain>
</file>

<file path=xl/sharedStrings.xml><?xml version="1.0" encoding="utf-8"?>
<sst xmlns="http://schemas.openxmlformats.org/spreadsheetml/2006/main" count="448" uniqueCount="145">
  <si>
    <t>Toiminto</t>
  </si>
  <si>
    <t>Tavoite</t>
  </si>
  <si>
    <t>Yksikkö</t>
  </si>
  <si>
    <t>Äänestyspisteet</t>
  </si>
  <si>
    <t>Karvo</t>
  </si>
  <si>
    <t>Vertailutaso</t>
  </si>
  <si>
    <t>Jatkuvapeitteinen metsätalous</t>
  </si>
  <si>
    <t>Virkistysarvojen maksimointi</t>
  </si>
  <si>
    <t>FSC-kriteerien mukainen metsätalous</t>
  </si>
  <si>
    <t>Biodiversiteetin maksimointi</t>
  </si>
  <si>
    <t>Hiilensidonnan lisääminen</t>
  </si>
  <si>
    <t>Vaikutusmekanismit</t>
  </si>
  <si>
    <t>Vertailun epävarmuustekijät</t>
  </si>
  <si>
    <t>Virkistys</t>
  </si>
  <si>
    <t>Metsien ulkoiluarvot parantuvat nykyisestä</t>
  </si>
  <si>
    <t>0-10</t>
  </si>
  <si>
    <t>Ulkoilu -indeksi</t>
  </si>
  <si>
    <t>Metsien maisema-arvot parantuvat nykyisestä</t>
  </si>
  <si>
    <t>Maisema -indeksi</t>
  </si>
  <si>
    <t>Sienisadon määrä kasvaa nykyisestä</t>
  </si>
  <si>
    <t>kg/ha</t>
  </si>
  <si>
    <t>Sienisadon potentiaalinen määrä</t>
  </si>
  <si>
    <t>Marjasadon määrä kasvaa nykyisestä</t>
  </si>
  <si>
    <t>Mustikka- ja puolukkasato yhteenlaskettuna</t>
  </si>
  <si>
    <t>Kanalintukannan määrä kasvaa nykyisestä</t>
  </si>
  <si>
    <t>Habitaatin pinta-ala (ha)</t>
  </si>
  <si>
    <t>Metsolle ja teerille sopivan habitaatin yhteenlaskettu pinta-ala</t>
  </si>
  <si>
    <t>Peura- ja hirvikannan koko pienenee nykyisestä</t>
  </si>
  <si>
    <t>Taimikoiden määrä</t>
  </si>
  <si>
    <t>Uudistushakkuiden pinta-ala pienenee nykyisestä</t>
  </si>
  <si>
    <t>ha</t>
  </si>
  <si>
    <t>Uudistushakkuiden yhteenlaskettu pinta-ala</t>
  </si>
  <si>
    <t>Metsien kiertoaika pitenee nykyisestä</t>
  </si>
  <si>
    <t>+/-</t>
  </si>
  <si>
    <t>Metsien keski-ikä</t>
  </si>
  <si>
    <t>Metsistä kerätään hakkuutähteitä nykyistä enemmän</t>
  </si>
  <si>
    <t>tn</t>
  </si>
  <si>
    <t>Kerättyjen hakkuutähteiden yhteenlaskettu määrä</t>
  </si>
  <si>
    <t>Virkistysmetsäalueiden pinta-ala kasvaa nykyisestä</t>
  </si>
  <si>
    <t>Virkistysmetsätavoitteet täyttävien metsäalueiden pinta-ala</t>
  </si>
  <si>
    <t>Virkistysmetsäalueet linkittyvät toisiinsa nykyistä paremmin</t>
  </si>
  <si>
    <t>Resilienssi</t>
  </si>
  <si>
    <t>Puulajidiversiteetti monipuolistuu nykyisestä</t>
  </si>
  <si>
    <t>Shannon G -arvo</t>
  </si>
  <si>
    <t>Lehtipuuston määrä kasvaa nykyisestä</t>
  </si>
  <si>
    <t>m3</t>
  </si>
  <si>
    <t>Ennustettu lehtipuuston määrä vuonna 2050</t>
  </si>
  <si>
    <t>Lehtipuuston osuus ainespuustosta kasvaa nykyisestä</t>
  </si>
  <si>
    <t>%</t>
  </si>
  <si>
    <t>Lehtipuuston osuus kaikesta ainespuustosta</t>
  </si>
  <si>
    <t>Metsien tuulenkesto parantuu nykyisestä</t>
  </si>
  <si>
    <t>Kriittinen tuuli -arvo ja puuston pituuden keskihajonta</t>
  </si>
  <si>
    <t>Arviossa ei huomioida naapurimetsien tuomaa suojaa</t>
  </si>
  <si>
    <t>Metsien palonkesto parantuu nykyisestä</t>
  </si>
  <si>
    <t>Taimikoiden määrä, havupuun osuus ja Gini-indeksi</t>
  </si>
  <si>
    <t>Ennuste ei ole tutkimuksellisesti vertailtu</t>
  </si>
  <si>
    <t>Metsät ovat nykyistä puustoisempia</t>
  </si>
  <si>
    <t>Puustoisuus -indeksi</t>
  </si>
  <si>
    <t>Talous</t>
  </si>
  <si>
    <t>Pakurikäävän potentiaaliset tulot kasvavat nykyisestä</t>
  </si>
  <si>
    <t>Pakurikäävän potentiaalinen tuotanto</t>
  </si>
  <si>
    <t>Hakkuutulot suurentuvat nykyisestä</t>
  </si>
  <si>
    <t>€</t>
  </si>
  <si>
    <t>2020-2050 väliset ennustetut hakkuutulot</t>
  </si>
  <si>
    <t>Metsänhoitomenot pienenevät nykyisestä</t>
  </si>
  <si>
    <t>2020-2050 väliset ennustetut metsänhoitomenot</t>
  </si>
  <si>
    <t>Nettotulot suurentuvat nykyisestä</t>
  </si>
  <si>
    <t>2020-2050 väliset ennustetut nettotulot</t>
  </si>
  <si>
    <t>Puuston arvon kasvaa nykyisestä</t>
  </si>
  <si>
    <t>Ennustettu puuston arvo vuonna 2050</t>
  </si>
  <si>
    <t>Kerätyn energiarangan määrä kasvaa nykyisestä (energialaitosten omavaraisuus)</t>
  </si>
  <si>
    <t>Ennustettu energiarangan kertymä välillä 2020-2050</t>
  </si>
  <si>
    <t>Metsämaan vuokraus mahdollisuuksia edistetään</t>
  </si>
  <si>
    <t>Metsänvuokraus vaihtoehdot</t>
  </si>
  <si>
    <t>Tulokset ovat hyvin riippuvaisia vuokralaisen liiketoiminnasta</t>
  </si>
  <si>
    <t>Biodiversiteetti &amp;</t>
  </si>
  <si>
    <t>Luonnon monimuotoisuutta parannetaan nykyisestä</t>
  </si>
  <si>
    <t>Yhteenveto biodiversiteettiin liittyvistä tavoitteista</t>
  </si>
  <si>
    <t>ympäristö</t>
  </si>
  <si>
    <t>Suojelualueiden pinta-ala kasvaa nykyisestä</t>
  </si>
  <si>
    <t>Suojelualueiden pinta-ala</t>
  </si>
  <si>
    <t>Skenaarion tavoitteiden luomat käsittelyrajoitukset</t>
  </si>
  <si>
    <t>Metsien ekologiset käytävät paranevat nykyisestä</t>
  </si>
  <si>
    <t>Taloudellisesti vanhojen metsien osuus kasvaa nykyisestä</t>
  </si>
  <si>
    <t>Metsäalueiden pinta-ala, joissa puuston keski-ikä on ylittänyt talousmetsän ylärajan</t>
  </si>
  <si>
    <t>Järeän lahopuun määrä kasvaa nykyisestä (yli 30 cm)</t>
  </si>
  <si>
    <t>Järeän (&gt;30 cm) runkolahopuun ennustettu tilavuus vuonna 2050</t>
  </si>
  <si>
    <t>Järeän haapa lahopuun määrä kasvaa nykyisestä (yli 30 cm)</t>
  </si>
  <si>
    <t>Järeän (&gt;30 cm) haapalahopuun ennustettu tilavuus vuonna 2050</t>
  </si>
  <si>
    <t>Metsänhoidon vesistövaikutukset pienenevät nykyisestä</t>
  </si>
  <si>
    <t>Kriteeristöt ja tutkimustieto hakkuutapojen vaikutuksista</t>
  </si>
  <si>
    <t>Petolintujen pesät huomioidaan nykyistä paremmin</t>
  </si>
  <si>
    <t>Kriteeristöt ja skenaarion tavoitteet</t>
  </si>
  <si>
    <t>Toiminnan lopullinen vaikutus</t>
  </si>
  <si>
    <t>Metsien hiilensidonta kasvaa nykyisestä</t>
  </si>
  <si>
    <t>CO2-ekv</t>
  </si>
  <si>
    <t>Metsäomaisuuden hiilitase</t>
  </si>
  <si>
    <t>Järeän erikoispuun määrä</t>
  </si>
  <si>
    <t>Taloudellisesti vanhojen metsien määrä</t>
  </si>
  <si>
    <t>Tunnukset</t>
  </si>
  <si>
    <t>Toteuttaa tavoitteen erittäin hyvin</t>
  </si>
  <si>
    <t>+</t>
  </si>
  <si>
    <t>-</t>
  </si>
  <si>
    <t>Toteuttaa tavoitteen erittäin huonosti</t>
  </si>
  <si>
    <t>Arvoasteikko 0-10</t>
  </si>
  <si>
    <t>Max</t>
  </si>
  <si>
    <t>Min</t>
  </si>
  <si>
    <t>Vaihteluväli</t>
  </si>
  <si>
    <t>MAA</t>
  </si>
  <si>
    <t>0-6</t>
  </si>
  <si>
    <t>Arvoasteikko 0-6</t>
  </si>
  <si>
    <t>Muutosten vaihtelun suuruus</t>
  </si>
  <si>
    <t>Suurin vaihtelu</t>
  </si>
  <si>
    <t>&gt; 1</t>
  </si>
  <si>
    <t>Kohtalainen vaihtelu</t>
  </si>
  <si>
    <t>0,5 &gt; 1</t>
  </si>
  <si>
    <t>Pienehkö vaihtelu</t>
  </si>
  <si>
    <t>&lt; 0,5</t>
  </si>
  <si>
    <t>BC</t>
  </si>
  <si>
    <t>1-6</t>
  </si>
  <si>
    <t>Menetelmän sopivuus tavoitteiden osalta</t>
  </si>
  <si>
    <t>Isompi arvo on parempi</t>
  </si>
  <si>
    <t>Arvoasteikko 1-6</t>
  </si>
  <si>
    <t>Paras</t>
  </si>
  <si>
    <t>Toiseksi paras</t>
  </si>
  <si>
    <t>Kolmanneksi paras</t>
  </si>
  <si>
    <t>Neljänneksi paras</t>
  </si>
  <si>
    <t>Viidenneksi paras</t>
  </si>
  <si>
    <t>Kuudenneksi paras</t>
  </si>
  <si>
    <t>Painoarvo</t>
  </si>
  <si>
    <t>Biodiversiteetti &amp; ympäristö</t>
  </si>
  <si>
    <t>Jäjelle jäävän puuston arvo kasvaa nykyisestä</t>
  </si>
  <si>
    <t>Indeksi</t>
  </si>
  <si>
    <t>ei=0, kyllä=1</t>
  </si>
  <si>
    <t>Jos korkoprosentti on pienempi</t>
  </si>
  <si>
    <t>Erotus 2-3%</t>
  </si>
  <si>
    <t>Hiilensidonnan lisääminen 3%</t>
  </si>
  <si>
    <t>Hiilensidonnan lisääminen 2%</t>
  </si>
  <si>
    <t>Jatkuvapeitteinen metsätalous 2%</t>
  </si>
  <si>
    <t>Vertailutaso 3%</t>
  </si>
  <si>
    <t>Vertailutaso 2%</t>
  </si>
  <si>
    <t>Äänestys-pisteet</t>
  </si>
  <si>
    <t>&amp; ympäristö</t>
  </si>
  <si>
    <t>Biodiversiteetti</t>
  </si>
  <si>
    <t>Jatkuvapeitteinen metsätalous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</si>
</sst>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4" fillId="0" borderId="1" xfId="0" applyFont="1" applyBorder="1" applyAlignment="1"/>
    <xf numFmtId="0" fontId="0" fillId="0" borderId="1" xfId="0" applyBorder="1" applyAlignment="1"/>
    <xf numFmtId="0" fontId="1" fillId="2" borderId="1" xfId="1" applyBorder="1" applyAlignment="1"/>
    <xf numFmtId="0" fontId="3" fillId="4" borderId="1" xfId="3" applyBorder="1" applyAlignment="1"/>
    <xf numFmtId="0" fontId="2" fillId="3" borderId="1" xfId="2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5" borderId="0" xfId="0" applyFont="1" applyFill="1"/>
    <xf numFmtId="0" fontId="5" fillId="0" borderId="1" xfId="0" applyFont="1" applyBorder="1"/>
    <xf numFmtId="0" fontId="6" fillId="13" borderId="1" xfId="0" applyFont="1" applyFill="1" applyBorder="1"/>
    <xf numFmtId="0" fontId="6" fillId="12" borderId="1" xfId="0" applyFont="1" applyFill="1" applyBorder="1"/>
    <xf numFmtId="0" fontId="6" fillId="5" borderId="1" xfId="0" applyFont="1" applyFill="1" applyBorder="1"/>
    <xf numFmtId="0" fontId="6" fillId="9" borderId="1" xfId="0" applyFont="1" applyFill="1" applyBorder="1"/>
    <xf numFmtId="0" fontId="6" fillId="11" borderId="1" xfId="0" applyFont="1" applyFill="1" applyBorder="1"/>
    <xf numFmtId="0" fontId="6" fillId="10" borderId="1" xfId="0" applyFont="1" applyFill="1" applyBorder="1"/>
    <xf numFmtId="0" fontId="7" fillId="2" borderId="1" xfId="1" applyFont="1" applyBorder="1"/>
    <xf numFmtId="0" fontId="8" fillId="4" borderId="1" xfId="3" applyFont="1" applyBorder="1"/>
    <xf numFmtId="0" fontId="9" fillId="3" borderId="1" xfId="2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wrapText="1"/>
    </xf>
    <xf numFmtId="0" fontId="0" fillId="5" borderId="1" xfId="0" applyFill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1" fillId="2" borderId="1" xfId="1" applyBorder="1" applyAlignment="1">
      <alignment horizontal="center"/>
    </xf>
    <xf numFmtId="0" fontId="2" fillId="3" borderId="1" xfId="2" applyBorder="1" applyAlignment="1">
      <alignment horizontal="center"/>
    </xf>
    <xf numFmtId="0" fontId="3" fillId="4" borderId="1" xfId="3" applyBorder="1" applyAlignment="1">
      <alignment horizontal="center"/>
    </xf>
    <xf numFmtId="0" fontId="1" fillId="2" borderId="1" xfId="1" applyFont="1" applyBorder="1" applyAlignment="1">
      <alignment horizontal="center"/>
    </xf>
    <xf numFmtId="0" fontId="2" fillId="3" borderId="1" xfId="2" applyFont="1" applyBorder="1" applyAlignment="1">
      <alignment horizontal="center"/>
    </xf>
    <xf numFmtId="0" fontId="6" fillId="0" borderId="0" xfId="0" applyFont="1" applyFill="1"/>
    <xf numFmtId="0" fontId="5" fillId="0" borderId="1" xfId="0" applyFont="1" applyBorder="1" applyAlignment="1">
      <alignment horizontal="center"/>
    </xf>
    <xf numFmtId="2" fontId="1" fillId="2" borderId="1" xfId="1" applyNumberFormat="1" applyBorder="1" applyAlignment="1"/>
    <xf numFmtId="2" fontId="2" fillId="3" borderId="1" xfId="2" applyNumberFormat="1" applyBorder="1" applyAlignment="1"/>
    <xf numFmtId="2" fontId="3" fillId="4" borderId="1" xfId="3" applyNumberFormat="1" applyBorder="1" applyAlignment="1"/>
    <xf numFmtId="2" fontId="0" fillId="5" borderId="1" xfId="0" applyNumberFormat="1" applyFill="1" applyBorder="1" applyAlignment="1"/>
    <xf numFmtId="164" fontId="1" fillId="2" borderId="1" xfId="1" applyNumberFormat="1" applyBorder="1" applyAlignment="1"/>
    <xf numFmtId="164" fontId="2" fillId="3" borderId="1" xfId="2" applyNumberFormat="1" applyBorder="1" applyAlignment="1"/>
    <xf numFmtId="164" fontId="3" fillId="4" borderId="1" xfId="3" applyNumberFormat="1" applyBorder="1" applyAlignment="1"/>
    <xf numFmtId="164" fontId="0" fillId="5" borderId="1" xfId="0" applyNumberFormat="1" applyFill="1" applyBorder="1" applyAlignment="1"/>
    <xf numFmtId="1" fontId="1" fillId="2" borderId="1" xfId="1" applyNumberFormat="1" applyBorder="1" applyAlignment="1"/>
    <xf numFmtId="1" fontId="2" fillId="3" borderId="1" xfId="2" applyNumberFormat="1" applyBorder="1" applyAlignment="1"/>
    <xf numFmtId="1" fontId="3" fillId="4" borderId="1" xfId="3" applyNumberFormat="1" applyBorder="1" applyAlignment="1"/>
  </cellXfs>
  <cellStyles count="4">
    <cellStyle name="Huono" xfId="2" builtinId="27"/>
    <cellStyle name="Hyvä" xfId="1" builtinId="26"/>
    <cellStyle name="Neutraali" xfId="3" builtinId="28"/>
    <cellStyle name="Normaali" xfId="0" builtinId="0"/>
  </cellStyles>
  <dxfs count="21">
    <dxf>
      <fill>
        <patternFill>
          <bgColor rgb="FF66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CC330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5F5F"/>
      <color rgb="FF0000FF"/>
      <color rgb="FF66FFFF"/>
      <color rgb="FFFF6600"/>
      <color rgb="FFFF9900"/>
      <color rgb="FFCC3300"/>
      <color rgb="FFFF3300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7115-8BF4-41F5-B679-35FB7CEB6E60}">
  <dimension ref="A1:V55"/>
  <sheetViews>
    <sheetView zoomScale="40" zoomScaleNormal="40" workbookViewId="0">
      <selection activeCell="M41" sqref="M41"/>
    </sheetView>
  </sheetViews>
  <sheetFormatPr defaultRowHeight="14.5" x14ac:dyDescent="0.35"/>
  <cols>
    <col min="1" max="1" width="14" customWidth="1"/>
    <col min="2" max="2" width="73.08984375" customWidth="1"/>
    <col min="3" max="3" width="22.81640625" customWidth="1"/>
    <col min="4" max="4" width="8.90625" customWidth="1"/>
    <col min="5" max="5" width="12.36328125" bestFit="1" customWidth="1"/>
    <col min="6" max="6" width="12.81640625" bestFit="1" customWidth="1"/>
    <col min="7" max="7" width="12.36328125" bestFit="1" customWidth="1"/>
    <col min="8" max="8" width="16.7265625" bestFit="1" customWidth="1"/>
    <col min="9" max="9" width="13.7265625" customWidth="1"/>
    <col min="10" max="10" width="9.1796875" customWidth="1"/>
    <col min="11" max="11" width="17.26953125" customWidth="1"/>
    <col min="12" max="12" width="8.81640625" customWidth="1"/>
    <col min="13" max="13" width="15.7265625" customWidth="1"/>
    <col min="14" max="14" width="8.7265625" customWidth="1"/>
    <col min="15" max="15" width="21.7265625" customWidth="1"/>
    <col min="16" max="16" width="7.1796875" customWidth="1"/>
    <col min="17" max="17" width="16.1796875" customWidth="1"/>
    <col min="18" max="18" width="8.54296875" customWidth="1"/>
    <col min="19" max="19" width="15.453125" customWidth="1"/>
    <col min="20" max="20" width="8.54296875" customWidth="1"/>
    <col min="21" max="21" width="72.453125" customWidth="1"/>
    <col min="22" max="22" width="55.81640625" customWidth="1"/>
  </cols>
  <sheetData>
    <row r="1" spans="1:22" ht="46.5" x14ac:dyDescent="0.35">
      <c r="A1" s="30" t="s">
        <v>0</v>
      </c>
      <c r="B1" s="30" t="s">
        <v>1</v>
      </c>
      <c r="C1" s="30" t="s">
        <v>2</v>
      </c>
      <c r="D1" s="9" t="s">
        <v>141</v>
      </c>
      <c r="E1" s="46" t="s">
        <v>4</v>
      </c>
      <c r="F1" s="46" t="s">
        <v>105</v>
      </c>
      <c r="G1" s="46" t="s">
        <v>106</v>
      </c>
      <c r="H1" s="31" t="s">
        <v>107</v>
      </c>
      <c r="I1" s="46" t="s">
        <v>5</v>
      </c>
      <c r="J1" s="46" t="s">
        <v>108</v>
      </c>
      <c r="K1" s="31" t="s">
        <v>6</v>
      </c>
      <c r="L1" s="46" t="s">
        <v>108</v>
      </c>
      <c r="M1" s="31" t="s">
        <v>7</v>
      </c>
      <c r="N1" s="46" t="s">
        <v>108</v>
      </c>
      <c r="O1" s="31" t="s">
        <v>8</v>
      </c>
      <c r="P1" s="46" t="s">
        <v>108</v>
      </c>
      <c r="Q1" s="31" t="s">
        <v>9</v>
      </c>
      <c r="R1" s="46" t="s">
        <v>108</v>
      </c>
      <c r="S1" s="31" t="s">
        <v>10</v>
      </c>
      <c r="T1" s="46" t="s">
        <v>108</v>
      </c>
      <c r="U1" s="30" t="s">
        <v>11</v>
      </c>
      <c r="V1" s="30" t="s">
        <v>12</v>
      </c>
    </row>
    <row r="2" spans="1:22" x14ac:dyDescent="0.35">
      <c r="A2" s="13" t="s">
        <v>13</v>
      </c>
      <c r="B2" s="13" t="s">
        <v>14</v>
      </c>
      <c r="C2" s="13" t="s">
        <v>15</v>
      </c>
      <c r="D2" s="12">
        <v>9</v>
      </c>
      <c r="E2" s="47">
        <f>(I2+K2+M2+O2+Q2+S2)/6</f>
        <v>3.8333333333333335</v>
      </c>
      <c r="F2" s="47">
        <f>MAX(I2,K2,M2,O2,Q2,S2)</f>
        <v>10</v>
      </c>
      <c r="G2" s="47">
        <f>MIN(I2,K2,M2,O2,Q2,S2)</f>
        <v>0</v>
      </c>
      <c r="H2" s="47">
        <f>(F2-G2)/E2</f>
        <v>2.6086956521739131</v>
      </c>
      <c r="I2" s="13">
        <v>0</v>
      </c>
      <c r="J2" s="55">
        <f>IF(I2&gt;$E2,1,0)*D2*H2</f>
        <v>0</v>
      </c>
      <c r="K2" s="47">
        <v>4</v>
      </c>
      <c r="L2" s="47">
        <f>IF(K2&gt;$E2,1,0)*D2*H2</f>
        <v>23.478260869565219</v>
      </c>
      <c r="M2" s="47">
        <v>5</v>
      </c>
      <c r="N2" s="47">
        <f>IF(M2&gt;$E2,1,0)*D2*H2</f>
        <v>23.478260869565219</v>
      </c>
      <c r="O2" s="47">
        <v>0</v>
      </c>
      <c r="P2" s="47">
        <f>IF(O2&gt;$E2,1,0)*D2*H2</f>
        <v>0</v>
      </c>
      <c r="Q2" s="47">
        <v>10</v>
      </c>
      <c r="R2" s="47">
        <f>IF(Q2&gt;$E2,1,0)*D2*H2</f>
        <v>23.478260869565219</v>
      </c>
      <c r="S2" s="47">
        <v>4</v>
      </c>
      <c r="T2" s="47">
        <f>IF(S2&gt;$E2,1,0)*D2*H2</f>
        <v>23.478260869565219</v>
      </c>
      <c r="U2" s="13" t="s">
        <v>16</v>
      </c>
      <c r="V2" s="13"/>
    </row>
    <row r="3" spans="1:22" x14ac:dyDescent="0.35">
      <c r="A3" s="13"/>
      <c r="B3" s="13" t="s">
        <v>17</v>
      </c>
      <c r="C3" s="13" t="s">
        <v>15</v>
      </c>
      <c r="D3" s="12">
        <v>7</v>
      </c>
      <c r="E3" s="47">
        <f t="shared" ref="E3:E35" si="0">(I3+K3+M3+O3+Q3+S3)/6</f>
        <v>5.333333333333333</v>
      </c>
      <c r="F3" s="47">
        <f t="shared" ref="F3:F35" si="1">MAX(I3,K3,M3,O3,Q3,S3)</f>
        <v>10</v>
      </c>
      <c r="G3" s="47">
        <f t="shared" ref="G3:G35" si="2">MIN(I3,K3,M3,O3,Q3,S3)</f>
        <v>0</v>
      </c>
      <c r="H3" s="47">
        <f t="shared" ref="H3:H35" si="3">(F3-G3)/E3</f>
        <v>1.875</v>
      </c>
      <c r="I3" s="13">
        <v>0</v>
      </c>
      <c r="J3" s="55">
        <f t="shared" ref="J3:J35" si="4">IF(I3&gt;$E3,1,0)*D3*H3</f>
        <v>0</v>
      </c>
      <c r="K3" s="47">
        <v>6</v>
      </c>
      <c r="L3" s="47">
        <f t="shared" ref="L3:L35" si="5">IF(K3&gt;$E3,1,0)*D3*H3</f>
        <v>13.125</v>
      </c>
      <c r="M3" s="47">
        <v>8</v>
      </c>
      <c r="N3" s="47">
        <f t="shared" ref="N3:N35" si="6">IF(M3&gt;$E3,1,0)*D3*H3</f>
        <v>13.125</v>
      </c>
      <c r="O3" s="47">
        <v>2</v>
      </c>
      <c r="P3" s="47">
        <f t="shared" ref="P3:P35" si="7">IF(O3&gt;$E3,1,0)*D3*H3</f>
        <v>0</v>
      </c>
      <c r="Q3" s="47">
        <v>10</v>
      </c>
      <c r="R3" s="47">
        <f t="shared" ref="R3:R35" si="8">IF(Q3&gt;$E3,1,0)*D3*H3</f>
        <v>13.125</v>
      </c>
      <c r="S3" s="47">
        <v>6</v>
      </c>
      <c r="T3" s="47">
        <f t="shared" ref="T3:T35" si="9">IF(S3&gt;$E3,1,0)*D3*H3</f>
        <v>13.125</v>
      </c>
      <c r="U3" s="13" t="s">
        <v>18</v>
      </c>
      <c r="V3" s="13"/>
    </row>
    <row r="4" spans="1:22" x14ac:dyDescent="0.35">
      <c r="A4" s="15"/>
      <c r="B4" s="15" t="s">
        <v>19</v>
      </c>
      <c r="C4" s="15" t="s">
        <v>20</v>
      </c>
      <c r="D4" s="12">
        <v>1</v>
      </c>
      <c r="E4" s="48">
        <f t="shared" si="0"/>
        <v>19.963333333333335</v>
      </c>
      <c r="F4" s="48">
        <f t="shared" si="1"/>
        <v>21.73</v>
      </c>
      <c r="G4" s="48">
        <f t="shared" si="2"/>
        <v>18.71</v>
      </c>
      <c r="H4" s="48">
        <f t="shared" si="3"/>
        <v>0.15127734179328767</v>
      </c>
      <c r="I4" s="56">
        <v>18.71</v>
      </c>
      <c r="J4" s="56">
        <f t="shared" si="4"/>
        <v>0</v>
      </c>
      <c r="K4" s="48">
        <v>19.77</v>
      </c>
      <c r="L4" s="48">
        <f t="shared" si="5"/>
        <v>0</v>
      </c>
      <c r="M4" s="48">
        <v>19.63</v>
      </c>
      <c r="N4" s="48">
        <f t="shared" si="6"/>
        <v>0</v>
      </c>
      <c r="O4" s="48">
        <v>19.329999999999998</v>
      </c>
      <c r="P4" s="48">
        <f t="shared" si="7"/>
        <v>0</v>
      </c>
      <c r="Q4" s="48">
        <v>21.73</v>
      </c>
      <c r="R4" s="48">
        <f t="shared" si="8"/>
        <v>0.15127734179328767</v>
      </c>
      <c r="S4" s="48">
        <v>20.61</v>
      </c>
      <c r="T4" s="48">
        <f t="shared" si="9"/>
        <v>0.15127734179328767</v>
      </c>
      <c r="U4" s="15" t="s">
        <v>21</v>
      </c>
      <c r="V4" s="15"/>
    </row>
    <row r="5" spans="1:22" x14ac:dyDescent="0.35">
      <c r="A5" s="15"/>
      <c r="B5" s="15" t="s">
        <v>22</v>
      </c>
      <c r="C5" s="15" t="s">
        <v>20</v>
      </c>
      <c r="D5" s="12">
        <v>1</v>
      </c>
      <c r="E5" s="48">
        <f t="shared" si="0"/>
        <v>19.463333333333335</v>
      </c>
      <c r="F5" s="48">
        <f t="shared" si="1"/>
        <v>22.43</v>
      </c>
      <c r="G5" s="48">
        <f t="shared" si="2"/>
        <v>17.28</v>
      </c>
      <c r="H5" s="48">
        <f t="shared" si="3"/>
        <v>0.26460010275732138</v>
      </c>
      <c r="I5" s="56">
        <v>17.28</v>
      </c>
      <c r="J5" s="56">
        <f t="shared" si="4"/>
        <v>0</v>
      </c>
      <c r="K5" s="48">
        <v>20.350000000000001</v>
      </c>
      <c r="L5" s="48">
        <f t="shared" si="5"/>
        <v>0.26460010275732138</v>
      </c>
      <c r="M5" s="48">
        <v>22.43</v>
      </c>
      <c r="N5" s="48">
        <f t="shared" si="6"/>
        <v>0.26460010275732138</v>
      </c>
      <c r="O5" s="48">
        <v>17.46</v>
      </c>
      <c r="P5" s="48">
        <f t="shared" si="7"/>
        <v>0</v>
      </c>
      <c r="Q5" s="48">
        <v>19.34</v>
      </c>
      <c r="R5" s="48">
        <f t="shared" si="8"/>
        <v>0</v>
      </c>
      <c r="S5" s="48">
        <v>19.920000000000002</v>
      </c>
      <c r="T5" s="48">
        <f t="shared" si="9"/>
        <v>0.26460010275732138</v>
      </c>
      <c r="U5" s="15" t="s">
        <v>23</v>
      </c>
      <c r="V5" s="15"/>
    </row>
    <row r="6" spans="1:22" x14ac:dyDescent="0.35">
      <c r="A6" s="15"/>
      <c r="B6" s="15" t="s">
        <v>24</v>
      </c>
      <c r="C6" s="15" t="s">
        <v>25</v>
      </c>
      <c r="D6" s="12">
        <v>1</v>
      </c>
      <c r="E6" s="48">
        <f t="shared" si="0"/>
        <v>2877.3333333333335</v>
      </c>
      <c r="F6" s="48">
        <f t="shared" si="1"/>
        <v>3422</v>
      </c>
      <c r="G6" s="48">
        <f t="shared" si="2"/>
        <v>2374</v>
      </c>
      <c r="H6" s="48">
        <f t="shared" si="3"/>
        <v>0.36422613531047265</v>
      </c>
      <c r="I6" s="56">
        <v>2374</v>
      </c>
      <c r="J6" s="56">
        <f t="shared" si="4"/>
        <v>0</v>
      </c>
      <c r="K6" s="48">
        <v>3236</v>
      </c>
      <c r="L6" s="48">
        <f t="shared" si="5"/>
        <v>0.36422613531047265</v>
      </c>
      <c r="M6" s="48">
        <v>3422</v>
      </c>
      <c r="N6" s="48">
        <f t="shared" si="6"/>
        <v>0.36422613531047265</v>
      </c>
      <c r="O6" s="48">
        <v>2642</v>
      </c>
      <c r="P6" s="48">
        <f t="shared" si="7"/>
        <v>0</v>
      </c>
      <c r="Q6" s="48">
        <v>2772</v>
      </c>
      <c r="R6" s="48">
        <f t="shared" si="8"/>
        <v>0</v>
      </c>
      <c r="S6" s="48">
        <v>2818</v>
      </c>
      <c r="T6" s="48">
        <f t="shared" si="9"/>
        <v>0</v>
      </c>
      <c r="U6" s="15" t="s">
        <v>26</v>
      </c>
      <c r="V6" s="15"/>
    </row>
    <row r="7" spans="1:22" x14ac:dyDescent="0.35">
      <c r="A7" s="13"/>
      <c r="B7" s="13" t="s">
        <v>27</v>
      </c>
      <c r="C7" s="13" t="s">
        <v>15</v>
      </c>
      <c r="D7" s="12">
        <v>1</v>
      </c>
      <c r="E7" s="47">
        <f t="shared" si="0"/>
        <v>6</v>
      </c>
      <c r="F7" s="47">
        <f t="shared" si="1"/>
        <v>10</v>
      </c>
      <c r="G7" s="47">
        <f t="shared" si="2"/>
        <v>0</v>
      </c>
      <c r="H7" s="47">
        <f t="shared" si="3"/>
        <v>1.6666666666666667</v>
      </c>
      <c r="I7" s="13">
        <v>0</v>
      </c>
      <c r="J7" s="55">
        <f t="shared" si="4"/>
        <v>0</v>
      </c>
      <c r="K7" s="47">
        <v>9</v>
      </c>
      <c r="L7" s="47">
        <f t="shared" si="5"/>
        <v>1.6666666666666667</v>
      </c>
      <c r="M7" s="47">
        <v>10</v>
      </c>
      <c r="N7" s="47">
        <f t="shared" si="6"/>
        <v>1.6666666666666667</v>
      </c>
      <c r="O7" s="47">
        <v>3</v>
      </c>
      <c r="P7" s="47">
        <f t="shared" si="7"/>
        <v>0</v>
      </c>
      <c r="Q7" s="47">
        <v>8</v>
      </c>
      <c r="R7" s="47">
        <f t="shared" si="8"/>
        <v>1.6666666666666667</v>
      </c>
      <c r="S7" s="47">
        <v>6</v>
      </c>
      <c r="T7" s="47">
        <f t="shared" si="9"/>
        <v>0</v>
      </c>
      <c r="U7" s="13" t="s">
        <v>28</v>
      </c>
      <c r="V7" s="13"/>
    </row>
    <row r="8" spans="1:22" x14ac:dyDescent="0.35">
      <c r="A8" s="13"/>
      <c r="B8" s="13" t="s">
        <v>29</v>
      </c>
      <c r="C8" s="13" t="s">
        <v>30</v>
      </c>
      <c r="D8" s="12">
        <v>1</v>
      </c>
      <c r="E8" s="47">
        <f t="shared" si="0"/>
        <v>188.18333333333331</v>
      </c>
      <c r="F8" s="47">
        <f t="shared" si="1"/>
        <v>525.29999999999995</v>
      </c>
      <c r="G8" s="47">
        <f t="shared" si="2"/>
        <v>0</v>
      </c>
      <c r="H8" s="47">
        <f t="shared" si="3"/>
        <v>2.7914268001062794</v>
      </c>
      <c r="I8" s="13">
        <v>525.29999999999995</v>
      </c>
      <c r="J8" s="55">
        <f t="shared" si="4"/>
        <v>2.7914268001062794</v>
      </c>
      <c r="K8" s="47">
        <v>0</v>
      </c>
      <c r="L8" s="47">
        <f t="shared" si="5"/>
        <v>0</v>
      </c>
      <c r="M8" s="47">
        <v>0</v>
      </c>
      <c r="N8" s="47">
        <f t="shared" si="6"/>
        <v>0</v>
      </c>
      <c r="O8" s="47">
        <v>376.5</v>
      </c>
      <c r="P8" s="47">
        <f t="shared" si="7"/>
        <v>2.7914268001062794</v>
      </c>
      <c r="Q8" s="47">
        <v>42.800000000000004</v>
      </c>
      <c r="R8" s="47">
        <f t="shared" si="8"/>
        <v>0</v>
      </c>
      <c r="S8" s="47">
        <v>184.5</v>
      </c>
      <c r="T8" s="47">
        <f t="shared" si="9"/>
        <v>0</v>
      </c>
      <c r="U8" s="13" t="s">
        <v>31</v>
      </c>
      <c r="V8" s="13"/>
    </row>
    <row r="9" spans="1:22" x14ac:dyDescent="0.35">
      <c r="A9" s="14"/>
      <c r="B9" s="14" t="s">
        <v>32</v>
      </c>
      <c r="C9" s="14" t="s">
        <v>109</v>
      </c>
      <c r="D9" s="12">
        <v>18</v>
      </c>
      <c r="E9" s="49">
        <f t="shared" si="0"/>
        <v>4.666666666666667</v>
      </c>
      <c r="F9" s="49">
        <f t="shared" si="1"/>
        <v>6</v>
      </c>
      <c r="G9" s="49">
        <f t="shared" si="2"/>
        <v>3</v>
      </c>
      <c r="H9" s="49">
        <f t="shared" si="3"/>
        <v>0.64285714285714279</v>
      </c>
      <c r="I9" s="14">
        <v>3</v>
      </c>
      <c r="J9" s="57">
        <f t="shared" si="4"/>
        <v>0</v>
      </c>
      <c r="K9" s="49">
        <v>5</v>
      </c>
      <c r="L9" s="49">
        <f t="shared" si="5"/>
        <v>11.571428571428569</v>
      </c>
      <c r="M9" s="49">
        <v>6</v>
      </c>
      <c r="N9" s="49">
        <f t="shared" si="6"/>
        <v>11.571428571428569</v>
      </c>
      <c r="O9" s="49">
        <v>4</v>
      </c>
      <c r="P9" s="49">
        <f t="shared" si="7"/>
        <v>0</v>
      </c>
      <c r="Q9" s="49">
        <v>6</v>
      </c>
      <c r="R9" s="49">
        <f t="shared" si="8"/>
        <v>11.571428571428569</v>
      </c>
      <c r="S9" s="49">
        <v>4</v>
      </c>
      <c r="T9" s="49">
        <f t="shared" si="9"/>
        <v>0</v>
      </c>
      <c r="U9" s="14" t="s">
        <v>34</v>
      </c>
      <c r="V9" s="14"/>
    </row>
    <row r="10" spans="1:22" x14ac:dyDescent="0.35">
      <c r="A10" s="13"/>
      <c r="B10" s="13" t="s">
        <v>35</v>
      </c>
      <c r="C10" s="13" t="s">
        <v>36</v>
      </c>
      <c r="D10" s="12">
        <v>4</v>
      </c>
      <c r="E10" s="47">
        <f t="shared" si="0"/>
        <v>3663.6666666666665</v>
      </c>
      <c r="F10" s="47">
        <f t="shared" si="1"/>
        <v>10429</v>
      </c>
      <c r="G10" s="47">
        <f t="shared" si="2"/>
        <v>0</v>
      </c>
      <c r="H10" s="47">
        <f t="shared" si="3"/>
        <v>2.8466017650805204</v>
      </c>
      <c r="I10" s="13">
        <v>10429</v>
      </c>
      <c r="J10" s="55">
        <f t="shared" si="4"/>
        <v>11.386407060322082</v>
      </c>
      <c r="K10" s="47">
        <v>0</v>
      </c>
      <c r="L10" s="47">
        <f t="shared" si="5"/>
        <v>0</v>
      </c>
      <c r="M10" s="47">
        <v>0</v>
      </c>
      <c r="N10" s="47">
        <f t="shared" si="6"/>
        <v>0</v>
      </c>
      <c r="O10" s="47">
        <v>7260</v>
      </c>
      <c r="P10" s="47">
        <f t="shared" si="7"/>
        <v>11.386407060322082</v>
      </c>
      <c r="Q10" s="47">
        <v>1139</v>
      </c>
      <c r="R10" s="47">
        <f t="shared" si="8"/>
        <v>0</v>
      </c>
      <c r="S10" s="47">
        <v>3154</v>
      </c>
      <c r="T10" s="47">
        <f t="shared" si="9"/>
        <v>0</v>
      </c>
      <c r="U10" s="13" t="s">
        <v>37</v>
      </c>
      <c r="V10" s="13"/>
    </row>
    <row r="11" spans="1:22" x14ac:dyDescent="0.35">
      <c r="A11" s="14"/>
      <c r="B11" s="14" t="s">
        <v>38</v>
      </c>
      <c r="C11" s="14" t="s">
        <v>109</v>
      </c>
      <c r="D11" s="12">
        <v>8</v>
      </c>
      <c r="E11" s="49">
        <f t="shared" si="0"/>
        <v>4.833333333333333</v>
      </c>
      <c r="F11" s="49">
        <f t="shared" si="1"/>
        <v>6</v>
      </c>
      <c r="G11" s="49">
        <f t="shared" si="2"/>
        <v>3</v>
      </c>
      <c r="H11" s="49">
        <f t="shared" si="3"/>
        <v>0.62068965517241381</v>
      </c>
      <c r="I11" s="14">
        <v>3</v>
      </c>
      <c r="J11" s="57">
        <f t="shared" si="4"/>
        <v>0</v>
      </c>
      <c r="K11" s="49">
        <v>5</v>
      </c>
      <c r="L11" s="49">
        <f t="shared" si="5"/>
        <v>4.9655172413793105</v>
      </c>
      <c r="M11" s="49">
        <v>6</v>
      </c>
      <c r="N11" s="49">
        <f t="shared" si="6"/>
        <v>4.9655172413793105</v>
      </c>
      <c r="O11" s="49">
        <v>4</v>
      </c>
      <c r="P11" s="49">
        <f t="shared" si="7"/>
        <v>0</v>
      </c>
      <c r="Q11" s="49">
        <v>6</v>
      </c>
      <c r="R11" s="49">
        <f t="shared" si="8"/>
        <v>4.9655172413793105</v>
      </c>
      <c r="S11" s="49">
        <v>5</v>
      </c>
      <c r="T11" s="49">
        <f t="shared" si="9"/>
        <v>4.9655172413793105</v>
      </c>
      <c r="U11" s="14" t="s">
        <v>39</v>
      </c>
      <c r="V11" s="14"/>
    </row>
    <row r="12" spans="1:22" x14ac:dyDescent="0.35">
      <c r="A12" s="14"/>
      <c r="B12" s="14" t="s">
        <v>40</v>
      </c>
      <c r="C12" s="14" t="s">
        <v>109</v>
      </c>
      <c r="D12" s="12">
        <v>1</v>
      </c>
      <c r="E12" s="49">
        <f t="shared" si="0"/>
        <v>4.833333333333333</v>
      </c>
      <c r="F12" s="49">
        <f t="shared" si="1"/>
        <v>6</v>
      </c>
      <c r="G12" s="49">
        <f t="shared" si="2"/>
        <v>3</v>
      </c>
      <c r="H12" s="49">
        <f t="shared" si="3"/>
        <v>0.62068965517241381</v>
      </c>
      <c r="I12" s="14">
        <v>3</v>
      </c>
      <c r="J12" s="57">
        <f t="shared" si="4"/>
        <v>0</v>
      </c>
      <c r="K12" s="49">
        <v>5</v>
      </c>
      <c r="L12" s="49">
        <f t="shared" si="5"/>
        <v>0.62068965517241381</v>
      </c>
      <c r="M12" s="49">
        <v>6</v>
      </c>
      <c r="N12" s="49">
        <f t="shared" si="6"/>
        <v>0.62068965517241381</v>
      </c>
      <c r="O12" s="49">
        <v>4</v>
      </c>
      <c r="P12" s="49">
        <f t="shared" si="7"/>
        <v>0</v>
      </c>
      <c r="Q12" s="49">
        <v>6</v>
      </c>
      <c r="R12" s="49">
        <f t="shared" si="8"/>
        <v>0.62068965517241381</v>
      </c>
      <c r="S12" s="49">
        <v>5</v>
      </c>
      <c r="T12" s="49">
        <f t="shared" si="9"/>
        <v>0.62068965517241381</v>
      </c>
      <c r="U12" s="14" t="s">
        <v>39</v>
      </c>
      <c r="V12" s="14"/>
    </row>
    <row r="13" spans="1:22" x14ac:dyDescent="0.35">
      <c r="A13" s="13" t="s">
        <v>41</v>
      </c>
      <c r="B13" s="13" t="s">
        <v>42</v>
      </c>
      <c r="C13" s="13" t="s">
        <v>15</v>
      </c>
      <c r="D13" s="12">
        <v>15</v>
      </c>
      <c r="E13" s="47">
        <f t="shared" si="0"/>
        <v>6</v>
      </c>
      <c r="F13" s="47">
        <f t="shared" si="1"/>
        <v>10</v>
      </c>
      <c r="G13" s="47">
        <f t="shared" si="2"/>
        <v>0</v>
      </c>
      <c r="H13" s="47">
        <f t="shared" si="3"/>
        <v>1.6666666666666667</v>
      </c>
      <c r="I13" s="13">
        <v>0</v>
      </c>
      <c r="J13" s="55">
        <f t="shared" si="4"/>
        <v>0</v>
      </c>
      <c r="K13" s="47">
        <v>9</v>
      </c>
      <c r="L13" s="47">
        <f t="shared" si="5"/>
        <v>25</v>
      </c>
      <c r="M13" s="47">
        <v>10</v>
      </c>
      <c r="N13" s="47">
        <f t="shared" si="6"/>
        <v>25</v>
      </c>
      <c r="O13" s="47">
        <v>6</v>
      </c>
      <c r="P13" s="47">
        <f t="shared" si="7"/>
        <v>0</v>
      </c>
      <c r="Q13" s="47">
        <v>8</v>
      </c>
      <c r="R13" s="47">
        <f t="shared" si="8"/>
        <v>25</v>
      </c>
      <c r="S13" s="47">
        <v>3</v>
      </c>
      <c r="T13" s="47">
        <f t="shared" si="9"/>
        <v>0</v>
      </c>
      <c r="U13" s="13" t="s">
        <v>43</v>
      </c>
      <c r="V13" s="13"/>
    </row>
    <row r="14" spans="1:22" x14ac:dyDescent="0.35">
      <c r="A14" s="14"/>
      <c r="B14" s="14" t="s">
        <v>44</v>
      </c>
      <c r="C14" s="14" t="s">
        <v>45</v>
      </c>
      <c r="D14" s="12">
        <v>1</v>
      </c>
      <c r="E14" s="49">
        <f t="shared" si="0"/>
        <v>186758.16666666666</v>
      </c>
      <c r="F14" s="49">
        <f t="shared" si="1"/>
        <v>256170</v>
      </c>
      <c r="G14" s="49">
        <f t="shared" si="2"/>
        <v>148109</v>
      </c>
      <c r="H14" s="49">
        <f t="shared" si="3"/>
        <v>0.57861458981267222</v>
      </c>
      <c r="I14" s="14">
        <v>148109</v>
      </c>
      <c r="J14" s="57">
        <f t="shared" si="4"/>
        <v>0</v>
      </c>
      <c r="K14" s="49">
        <v>174402</v>
      </c>
      <c r="L14" s="49">
        <f t="shared" si="5"/>
        <v>0</v>
      </c>
      <c r="M14" s="49">
        <v>180262</v>
      </c>
      <c r="N14" s="49">
        <f t="shared" si="6"/>
        <v>0</v>
      </c>
      <c r="O14" s="49">
        <v>161254</v>
      </c>
      <c r="P14" s="49">
        <f t="shared" si="7"/>
        <v>0</v>
      </c>
      <c r="Q14" s="49">
        <v>256170</v>
      </c>
      <c r="R14" s="49">
        <f t="shared" si="8"/>
        <v>0.57861458981267222</v>
      </c>
      <c r="S14" s="49">
        <v>200352</v>
      </c>
      <c r="T14" s="49">
        <f t="shared" si="9"/>
        <v>0.57861458981267222</v>
      </c>
      <c r="U14" s="14" t="s">
        <v>46</v>
      </c>
      <c r="V14" s="14"/>
    </row>
    <row r="15" spans="1:22" x14ac:dyDescent="0.35">
      <c r="A15" s="15"/>
      <c r="B15" s="15" t="s">
        <v>47</v>
      </c>
      <c r="C15" s="15" t="s">
        <v>48</v>
      </c>
      <c r="D15" s="12">
        <v>1</v>
      </c>
      <c r="E15" s="48">
        <f t="shared" si="0"/>
        <v>30.882678756116363</v>
      </c>
      <c r="F15" s="48">
        <f t="shared" si="1"/>
        <v>31.565717243036428</v>
      </c>
      <c r="G15" s="48">
        <f t="shared" si="2"/>
        <v>28.961534926740178</v>
      </c>
      <c r="H15" s="48">
        <f t="shared" si="3"/>
        <v>8.4325013929709286E-2</v>
      </c>
      <c r="I15" s="52">
        <v>28.961534926740178</v>
      </c>
      <c r="J15" s="56">
        <f t="shared" si="4"/>
        <v>0</v>
      </c>
      <c r="K15" s="48">
        <v>31.239666756825983</v>
      </c>
      <c r="L15" s="48">
        <f t="shared" si="5"/>
        <v>8.4325013929709286E-2</v>
      </c>
      <c r="M15" s="48">
        <v>30.902233727049872</v>
      </c>
      <c r="N15" s="48">
        <f t="shared" si="6"/>
        <v>8.4325013929709286E-2</v>
      </c>
      <c r="O15" s="48">
        <v>31.165794046079782</v>
      </c>
      <c r="P15" s="48">
        <f t="shared" si="7"/>
        <v>8.4325013929709286E-2</v>
      </c>
      <c r="Q15" s="48">
        <v>31.565717243036428</v>
      </c>
      <c r="R15" s="48">
        <f t="shared" si="8"/>
        <v>8.4325013929709286E-2</v>
      </c>
      <c r="S15" s="48">
        <v>31.461125836965941</v>
      </c>
      <c r="T15" s="48">
        <f t="shared" si="9"/>
        <v>8.4325013929709286E-2</v>
      </c>
      <c r="U15" s="15" t="s">
        <v>49</v>
      </c>
      <c r="V15" s="15"/>
    </row>
    <row r="16" spans="1:22" x14ac:dyDescent="0.35">
      <c r="A16" s="14"/>
      <c r="B16" s="14" t="s">
        <v>50</v>
      </c>
      <c r="C16" s="14" t="s">
        <v>33</v>
      </c>
      <c r="D16" s="12">
        <v>3</v>
      </c>
      <c r="E16" s="49">
        <f t="shared" si="0"/>
        <v>3</v>
      </c>
      <c r="F16" s="49">
        <f t="shared" si="1"/>
        <v>4</v>
      </c>
      <c r="G16" s="49">
        <f t="shared" si="2"/>
        <v>2</v>
      </c>
      <c r="H16" s="49">
        <f t="shared" si="3"/>
        <v>0.66666666666666663</v>
      </c>
      <c r="I16" s="14">
        <v>3</v>
      </c>
      <c r="J16" s="14">
        <f t="shared" si="4"/>
        <v>0</v>
      </c>
      <c r="K16" s="49">
        <v>3</v>
      </c>
      <c r="L16" s="49">
        <f t="shared" si="5"/>
        <v>0</v>
      </c>
      <c r="M16" s="49">
        <v>4</v>
      </c>
      <c r="N16" s="49">
        <f t="shared" si="6"/>
        <v>2</v>
      </c>
      <c r="O16" s="49">
        <v>3</v>
      </c>
      <c r="P16" s="49">
        <f t="shared" si="7"/>
        <v>0</v>
      </c>
      <c r="Q16" s="49">
        <v>2</v>
      </c>
      <c r="R16" s="49">
        <f t="shared" si="8"/>
        <v>0</v>
      </c>
      <c r="S16" s="49">
        <v>3</v>
      </c>
      <c r="T16" s="49">
        <f t="shared" si="9"/>
        <v>0</v>
      </c>
      <c r="U16" s="14" t="s">
        <v>51</v>
      </c>
      <c r="V16" s="14" t="s">
        <v>52</v>
      </c>
    </row>
    <row r="17" spans="1:22" x14ac:dyDescent="0.35">
      <c r="A17" s="13"/>
      <c r="B17" s="13" t="s">
        <v>53</v>
      </c>
      <c r="C17" s="13" t="s">
        <v>15</v>
      </c>
      <c r="D17" s="12">
        <v>1</v>
      </c>
      <c r="E17" s="47">
        <f t="shared" si="0"/>
        <v>5</v>
      </c>
      <c r="F17" s="47">
        <f t="shared" si="1"/>
        <v>9</v>
      </c>
      <c r="G17" s="47">
        <f t="shared" si="2"/>
        <v>2</v>
      </c>
      <c r="H17" s="47">
        <f t="shared" si="3"/>
        <v>1.4</v>
      </c>
      <c r="I17" s="13">
        <v>2</v>
      </c>
      <c r="J17" s="13">
        <f t="shared" si="4"/>
        <v>0</v>
      </c>
      <c r="K17" s="47">
        <v>5</v>
      </c>
      <c r="L17" s="47">
        <f t="shared" si="5"/>
        <v>0</v>
      </c>
      <c r="M17" s="47">
        <v>4</v>
      </c>
      <c r="N17" s="47">
        <f t="shared" si="6"/>
        <v>0</v>
      </c>
      <c r="O17" s="47">
        <v>3</v>
      </c>
      <c r="P17" s="47">
        <f t="shared" si="7"/>
        <v>0</v>
      </c>
      <c r="Q17" s="47">
        <v>9</v>
      </c>
      <c r="R17" s="47">
        <f t="shared" si="8"/>
        <v>1.4</v>
      </c>
      <c r="S17" s="47">
        <v>7</v>
      </c>
      <c r="T17" s="47">
        <f t="shared" si="9"/>
        <v>1.4</v>
      </c>
      <c r="U17" s="13" t="s">
        <v>54</v>
      </c>
      <c r="V17" s="13" t="s">
        <v>55</v>
      </c>
    </row>
    <row r="18" spans="1:22" x14ac:dyDescent="0.35">
      <c r="A18" s="13"/>
      <c r="B18" s="13" t="s">
        <v>56</v>
      </c>
      <c r="C18" s="13" t="s">
        <v>15</v>
      </c>
      <c r="D18" s="12">
        <v>1</v>
      </c>
      <c r="E18" s="47">
        <f t="shared" si="0"/>
        <v>3.6666666666666665</v>
      </c>
      <c r="F18" s="47">
        <f t="shared" si="1"/>
        <v>10</v>
      </c>
      <c r="G18" s="47">
        <f t="shared" si="2"/>
        <v>0</v>
      </c>
      <c r="H18" s="47">
        <f t="shared" si="3"/>
        <v>2.7272727272727275</v>
      </c>
      <c r="I18" s="13">
        <v>0</v>
      </c>
      <c r="J18" s="13">
        <f t="shared" si="4"/>
        <v>0</v>
      </c>
      <c r="K18" s="47">
        <v>2</v>
      </c>
      <c r="L18" s="47">
        <f t="shared" si="5"/>
        <v>0</v>
      </c>
      <c r="M18" s="47">
        <v>3</v>
      </c>
      <c r="N18" s="47">
        <f t="shared" si="6"/>
        <v>0</v>
      </c>
      <c r="O18" s="47">
        <v>1</v>
      </c>
      <c r="P18" s="47">
        <f t="shared" si="7"/>
        <v>0</v>
      </c>
      <c r="Q18" s="47">
        <v>10</v>
      </c>
      <c r="R18" s="47">
        <f t="shared" si="8"/>
        <v>2.7272727272727275</v>
      </c>
      <c r="S18" s="47">
        <v>6</v>
      </c>
      <c r="T18" s="47">
        <f t="shared" si="9"/>
        <v>2.7272727272727275</v>
      </c>
      <c r="U18" s="13" t="s">
        <v>57</v>
      </c>
      <c r="V18" s="13"/>
    </row>
    <row r="19" spans="1:22" x14ac:dyDescent="0.35">
      <c r="A19" s="14" t="s">
        <v>58</v>
      </c>
      <c r="B19" s="14" t="s">
        <v>59</v>
      </c>
      <c r="C19" s="14" t="s">
        <v>20</v>
      </c>
      <c r="D19" s="12">
        <v>1</v>
      </c>
      <c r="E19" s="49">
        <f t="shared" si="0"/>
        <v>5.3258333333333328</v>
      </c>
      <c r="F19" s="49">
        <f t="shared" si="1"/>
        <v>7.2039999999999997</v>
      </c>
      <c r="G19" s="49">
        <f t="shared" si="2"/>
        <v>4.375</v>
      </c>
      <c r="H19" s="49">
        <f t="shared" si="3"/>
        <v>0.53118447817242997</v>
      </c>
      <c r="I19" s="53">
        <v>4.375</v>
      </c>
      <c r="J19" s="14">
        <f t="shared" si="4"/>
        <v>0</v>
      </c>
      <c r="K19" s="49">
        <v>5.3890000000000002</v>
      </c>
      <c r="L19" s="49">
        <f t="shared" si="5"/>
        <v>0.53118447817242997</v>
      </c>
      <c r="M19" s="49">
        <v>4.9059999999999997</v>
      </c>
      <c r="N19" s="49">
        <f t="shared" si="6"/>
        <v>0</v>
      </c>
      <c r="O19" s="49">
        <v>4.7350000000000003</v>
      </c>
      <c r="P19" s="49">
        <f t="shared" si="7"/>
        <v>0</v>
      </c>
      <c r="Q19" s="49">
        <v>7.2039999999999997</v>
      </c>
      <c r="R19" s="49">
        <f t="shared" si="8"/>
        <v>0.53118447817242997</v>
      </c>
      <c r="S19" s="49">
        <v>5.3460000000000001</v>
      </c>
      <c r="T19" s="49">
        <f t="shared" si="9"/>
        <v>0.53118447817242997</v>
      </c>
      <c r="U19" s="14" t="s">
        <v>60</v>
      </c>
      <c r="V19" s="14"/>
    </row>
    <row r="20" spans="1:22" x14ac:dyDescent="0.35">
      <c r="A20" s="14"/>
      <c r="B20" s="14" t="s">
        <v>61</v>
      </c>
      <c r="C20" s="14" t="s">
        <v>62</v>
      </c>
      <c r="D20" s="12">
        <v>4</v>
      </c>
      <c r="E20" s="49">
        <f t="shared" si="0"/>
        <v>10149378.666666666</v>
      </c>
      <c r="F20" s="49">
        <f t="shared" si="1"/>
        <v>12689833</v>
      </c>
      <c r="G20" s="49">
        <f t="shared" si="2"/>
        <v>3890482</v>
      </c>
      <c r="H20" s="49">
        <f t="shared" si="3"/>
        <v>0.86698420553560329</v>
      </c>
      <c r="I20" s="14">
        <v>12180890</v>
      </c>
      <c r="J20" s="53">
        <f t="shared" si="4"/>
        <v>3.4679368221424132</v>
      </c>
      <c r="K20" s="49">
        <v>12350281</v>
      </c>
      <c r="L20" s="49">
        <f t="shared" si="5"/>
        <v>3.4679368221424132</v>
      </c>
      <c r="M20" s="49">
        <v>10437227</v>
      </c>
      <c r="N20" s="49">
        <f t="shared" si="6"/>
        <v>3.4679368221424132</v>
      </c>
      <c r="O20" s="49">
        <v>12689833</v>
      </c>
      <c r="P20" s="49">
        <f t="shared" si="7"/>
        <v>3.4679368221424132</v>
      </c>
      <c r="Q20" s="49">
        <v>3890482</v>
      </c>
      <c r="R20" s="49">
        <f t="shared" si="8"/>
        <v>0</v>
      </c>
      <c r="S20" s="49">
        <v>9347559</v>
      </c>
      <c r="T20" s="49">
        <f t="shared" si="9"/>
        <v>0</v>
      </c>
      <c r="U20" s="14" t="s">
        <v>63</v>
      </c>
      <c r="V20" s="14"/>
    </row>
    <row r="21" spans="1:22" x14ac:dyDescent="0.35">
      <c r="A21" s="13"/>
      <c r="B21" s="13" t="s">
        <v>64</v>
      </c>
      <c r="C21" s="13" t="s">
        <v>62</v>
      </c>
      <c r="D21" s="12">
        <v>3</v>
      </c>
      <c r="E21" s="47">
        <f t="shared" si="0"/>
        <v>365387.16666666669</v>
      </c>
      <c r="F21" s="47">
        <f t="shared" si="1"/>
        <v>935534</v>
      </c>
      <c r="G21" s="47">
        <f t="shared" si="2"/>
        <v>45362</v>
      </c>
      <c r="H21" s="47">
        <f t="shared" si="3"/>
        <v>2.4362431995650273</v>
      </c>
      <c r="I21" s="13">
        <v>935534</v>
      </c>
      <c r="J21" s="51">
        <f t="shared" si="4"/>
        <v>7.3087295986950824</v>
      </c>
      <c r="K21" s="47">
        <v>48243</v>
      </c>
      <c r="L21" s="47">
        <f t="shared" si="5"/>
        <v>0</v>
      </c>
      <c r="M21" s="47">
        <v>45362</v>
      </c>
      <c r="N21" s="47">
        <f t="shared" si="6"/>
        <v>0</v>
      </c>
      <c r="O21" s="47">
        <v>674098</v>
      </c>
      <c r="P21" s="47">
        <f t="shared" si="7"/>
        <v>7.3087295986950824</v>
      </c>
      <c r="Q21" s="47">
        <v>137882</v>
      </c>
      <c r="R21" s="47">
        <f t="shared" si="8"/>
        <v>0</v>
      </c>
      <c r="S21" s="47">
        <v>351204</v>
      </c>
      <c r="T21" s="47">
        <f t="shared" si="9"/>
        <v>0</v>
      </c>
      <c r="U21" s="13" t="s">
        <v>65</v>
      </c>
      <c r="V21" s="13"/>
    </row>
    <row r="22" spans="1:22" x14ac:dyDescent="0.35">
      <c r="A22" s="14"/>
      <c r="B22" s="14" t="s">
        <v>66</v>
      </c>
      <c r="C22" s="14" t="s">
        <v>62</v>
      </c>
      <c r="D22" s="12">
        <v>15</v>
      </c>
      <c r="E22" s="49">
        <f t="shared" si="0"/>
        <v>9783991.5</v>
      </c>
      <c r="F22" s="49">
        <f t="shared" si="1"/>
        <v>12302038</v>
      </c>
      <c r="G22" s="49">
        <f t="shared" si="2"/>
        <v>3752600</v>
      </c>
      <c r="H22" s="49">
        <f t="shared" si="3"/>
        <v>0.87381903387794235</v>
      </c>
      <c r="I22" s="14">
        <v>11245356</v>
      </c>
      <c r="J22" s="53">
        <f t="shared" si="4"/>
        <v>13.107285508169134</v>
      </c>
      <c r="K22" s="49">
        <v>12302038</v>
      </c>
      <c r="L22" s="49">
        <f t="shared" si="5"/>
        <v>13.107285508169134</v>
      </c>
      <c r="M22" s="49">
        <v>10391865</v>
      </c>
      <c r="N22" s="49">
        <f t="shared" si="6"/>
        <v>13.107285508169134</v>
      </c>
      <c r="O22" s="49">
        <v>12015735</v>
      </c>
      <c r="P22" s="49">
        <f t="shared" si="7"/>
        <v>13.107285508169134</v>
      </c>
      <c r="Q22" s="49">
        <v>3752600</v>
      </c>
      <c r="R22" s="49">
        <f t="shared" si="8"/>
        <v>0</v>
      </c>
      <c r="S22" s="49">
        <v>8996355</v>
      </c>
      <c r="T22" s="49">
        <f t="shared" si="9"/>
        <v>0</v>
      </c>
      <c r="U22" s="14" t="s">
        <v>67</v>
      </c>
      <c r="V22" s="14"/>
    </row>
    <row r="23" spans="1:22" x14ac:dyDescent="0.35">
      <c r="A23" s="14"/>
      <c r="B23" s="14" t="s">
        <v>68</v>
      </c>
      <c r="C23" s="14" t="s">
        <v>62</v>
      </c>
      <c r="D23" s="12">
        <v>34</v>
      </c>
      <c r="E23" s="49">
        <f t="shared" si="0"/>
        <v>22851166.666666668</v>
      </c>
      <c r="F23" s="49">
        <f t="shared" si="1"/>
        <v>31234000</v>
      </c>
      <c r="G23" s="49">
        <f t="shared" si="2"/>
        <v>19176000</v>
      </c>
      <c r="H23" s="49">
        <f t="shared" si="3"/>
        <v>0.5276754651476584</v>
      </c>
      <c r="I23" s="14">
        <v>19176000</v>
      </c>
      <c r="J23" s="14">
        <f t="shared" si="4"/>
        <v>0</v>
      </c>
      <c r="K23" s="49">
        <v>20739000</v>
      </c>
      <c r="L23" s="49">
        <f t="shared" si="5"/>
        <v>0</v>
      </c>
      <c r="M23" s="49">
        <v>22566000</v>
      </c>
      <c r="N23" s="49">
        <f t="shared" si="6"/>
        <v>0</v>
      </c>
      <c r="O23" s="49">
        <v>19462000</v>
      </c>
      <c r="P23" s="49">
        <f t="shared" si="7"/>
        <v>0</v>
      </c>
      <c r="Q23" s="49">
        <v>31234000</v>
      </c>
      <c r="R23" s="49">
        <f t="shared" si="8"/>
        <v>17.940965815020384</v>
      </c>
      <c r="S23" s="49">
        <v>23930000</v>
      </c>
      <c r="T23" s="49">
        <f t="shared" si="9"/>
        <v>17.940965815020384</v>
      </c>
      <c r="U23" s="14" t="s">
        <v>69</v>
      </c>
      <c r="V23" s="14"/>
    </row>
    <row r="24" spans="1:22" x14ac:dyDescent="0.35">
      <c r="A24" s="13"/>
      <c r="B24" s="13" t="s">
        <v>70</v>
      </c>
      <c r="C24" s="13" t="s">
        <v>45</v>
      </c>
      <c r="D24" s="12">
        <v>12</v>
      </c>
      <c r="E24" s="47">
        <f t="shared" si="0"/>
        <v>7707</v>
      </c>
      <c r="F24" s="47">
        <f t="shared" si="1"/>
        <v>11824</v>
      </c>
      <c r="G24" s="47">
        <f t="shared" si="2"/>
        <v>3245</v>
      </c>
      <c r="H24" s="47">
        <f t="shared" si="3"/>
        <v>1.1131438951602439</v>
      </c>
      <c r="I24" s="13">
        <v>8933</v>
      </c>
      <c r="J24" s="51">
        <f t="shared" si="4"/>
        <v>13.357726741922928</v>
      </c>
      <c r="K24" s="47">
        <v>7216</v>
      </c>
      <c r="L24" s="47">
        <f t="shared" si="5"/>
        <v>0</v>
      </c>
      <c r="M24" s="47">
        <v>11824</v>
      </c>
      <c r="N24" s="47">
        <f t="shared" si="6"/>
        <v>13.357726741922928</v>
      </c>
      <c r="O24" s="47">
        <v>8046</v>
      </c>
      <c r="P24" s="47">
        <f t="shared" si="7"/>
        <v>13.357726741922928</v>
      </c>
      <c r="Q24" s="47">
        <v>3245</v>
      </c>
      <c r="R24" s="47">
        <f t="shared" si="8"/>
        <v>0</v>
      </c>
      <c r="S24" s="47">
        <v>6978</v>
      </c>
      <c r="T24" s="47">
        <f t="shared" si="9"/>
        <v>0</v>
      </c>
      <c r="U24" s="13" t="s">
        <v>71</v>
      </c>
      <c r="V24" s="13"/>
    </row>
    <row r="25" spans="1:22" x14ac:dyDescent="0.35">
      <c r="A25" s="15"/>
      <c r="B25" s="15" t="s">
        <v>72</v>
      </c>
      <c r="C25" s="15" t="s">
        <v>109</v>
      </c>
      <c r="D25" s="12">
        <v>1</v>
      </c>
      <c r="E25" s="48">
        <f t="shared" si="0"/>
        <v>4</v>
      </c>
      <c r="F25" s="48">
        <f t="shared" si="1"/>
        <v>4</v>
      </c>
      <c r="G25" s="48">
        <f t="shared" si="2"/>
        <v>4</v>
      </c>
      <c r="H25" s="48">
        <f t="shared" si="3"/>
        <v>0</v>
      </c>
      <c r="I25" s="15">
        <v>4</v>
      </c>
      <c r="J25" s="15">
        <f t="shared" si="4"/>
        <v>0</v>
      </c>
      <c r="K25" s="48">
        <v>4</v>
      </c>
      <c r="L25" s="48">
        <f t="shared" si="5"/>
        <v>0</v>
      </c>
      <c r="M25" s="48">
        <v>4</v>
      </c>
      <c r="N25" s="48">
        <f t="shared" si="6"/>
        <v>0</v>
      </c>
      <c r="O25" s="48">
        <v>4</v>
      </c>
      <c r="P25" s="48">
        <f t="shared" si="7"/>
        <v>0</v>
      </c>
      <c r="Q25" s="48">
        <v>4</v>
      </c>
      <c r="R25" s="48">
        <f t="shared" si="8"/>
        <v>0</v>
      </c>
      <c r="S25" s="48">
        <v>4</v>
      </c>
      <c r="T25" s="48">
        <f t="shared" si="9"/>
        <v>0</v>
      </c>
      <c r="U25" s="15" t="s">
        <v>73</v>
      </c>
      <c r="V25" s="15" t="s">
        <v>74</v>
      </c>
    </row>
    <row r="26" spans="1:22" x14ac:dyDescent="0.35">
      <c r="A26" s="14" t="s">
        <v>143</v>
      </c>
      <c r="B26" s="14" t="s">
        <v>76</v>
      </c>
      <c r="C26" s="14" t="s">
        <v>109</v>
      </c>
      <c r="D26" s="12">
        <v>16</v>
      </c>
      <c r="E26" s="49">
        <f t="shared" si="0"/>
        <v>4.5</v>
      </c>
      <c r="F26" s="49">
        <f t="shared" si="1"/>
        <v>6</v>
      </c>
      <c r="G26" s="49">
        <f t="shared" si="2"/>
        <v>3</v>
      </c>
      <c r="H26" s="49">
        <f t="shared" si="3"/>
        <v>0.66666666666666663</v>
      </c>
      <c r="I26" s="14">
        <v>3</v>
      </c>
      <c r="J26" s="14">
        <f t="shared" si="4"/>
        <v>0</v>
      </c>
      <c r="K26" s="49">
        <v>4</v>
      </c>
      <c r="L26" s="49">
        <f t="shared" si="5"/>
        <v>0</v>
      </c>
      <c r="M26" s="49">
        <v>5</v>
      </c>
      <c r="N26" s="49">
        <f t="shared" si="6"/>
        <v>10.666666666666666</v>
      </c>
      <c r="O26" s="49">
        <v>5</v>
      </c>
      <c r="P26" s="49">
        <f t="shared" si="7"/>
        <v>10.666666666666666</v>
      </c>
      <c r="Q26" s="49">
        <v>6</v>
      </c>
      <c r="R26" s="49">
        <f t="shared" si="8"/>
        <v>10.666666666666666</v>
      </c>
      <c r="S26" s="49">
        <v>4</v>
      </c>
      <c r="T26" s="49">
        <f t="shared" si="9"/>
        <v>0</v>
      </c>
      <c r="U26" s="14" t="s">
        <v>77</v>
      </c>
      <c r="V26" s="14"/>
    </row>
    <row r="27" spans="1:22" x14ac:dyDescent="0.35">
      <c r="A27" s="14" t="s">
        <v>142</v>
      </c>
      <c r="B27" s="14" t="s">
        <v>79</v>
      </c>
      <c r="C27" s="14" t="s">
        <v>109</v>
      </c>
      <c r="D27" s="12">
        <v>1</v>
      </c>
      <c r="E27" s="49">
        <f t="shared" si="0"/>
        <v>4.166666666666667</v>
      </c>
      <c r="F27" s="49">
        <f t="shared" si="1"/>
        <v>6</v>
      </c>
      <c r="G27" s="49">
        <f t="shared" si="2"/>
        <v>3</v>
      </c>
      <c r="H27" s="49">
        <f t="shared" si="3"/>
        <v>0.72</v>
      </c>
      <c r="I27" s="14">
        <v>3</v>
      </c>
      <c r="J27" s="14">
        <f t="shared" si="4"/>
        <v>0</v>
      </c>
      <c r="K27" s="49">
        <v>3</v>
      </c>
      <c r="L27" s="49">
        <f t="shared" si="5"/>
        <v>0</v>
      </c>
      <c r="M27" s="49">
        <v>4</v>
      </c>
      <c r="N27" s="49">
        <f t="shared" si="6"/>
        <v>0</v>
      </c>
      <c r="O27" s="49">
        <v>5</v>
      </c>
      <c r="P27" s="49">
        <f t="shared" si="7"/>
        <v>0.72</v>
      </c>
      <c r="Q27" s="49">
        <v>6</v>
      </c>
      <c r="R27" s="49">
        <f t="shared" si="8"/>
        <v>0.72</v>
      </c>
      <c r="S27" s="49">
        <v>4</v>
      </c>
      <c r="T27" s="49">
        <f t="shared" si="9"/>
        <v>0</v>
      </c>
      <c r="U27" s="14" t="s">
        <v>80</v>
      </c>
      <c r="V27" s="14" t="s">
        <v>81</v>
      </c>
    </row>
    <row r="28" spans="1:22" x14ac:dyDescent="0.35">
      <c r="A28" s="14"/>
      <c r="B28" s="14" t="s">
        <v>82</v>
      </c>
      <c r="C28" s="14" t="s">
        <v>109</v>
      </c>
      <c r="D28" s="12">
        <v>1</v>
      </c>
      <c r="E28" s="49">
        <f t="shared" si="0"/>
        <v>4.333333333333333</v>
      </c>
      <c r="F28" s="49">
        <f t="shared" si="1"/>
        <v>6</v>
      </c>
      <c r="G28" s="49">
        <f t="shared" si="2"/>
        <v>3</v>
      </c>
      <c r="H28" s="49">
        <f t="shared" si="3"/>
        <v>0.6923076923076924</v>
      </c>
      <c r="I28" s="14">
        <v>3</v>
      </c>
      <c r="J28" s="14">
        <f t="shared" si="4"/>
        <v>0</v>
      </c>
      <c r="K28" s="49">
        <v>4</v>
      </c>
      <c r="L28" s="49">
        <f t="shared" si="5"/>
        <v>0</v>
      </c>
      <c r="M28" s="49">
        <v>4</v>
      </c>
      <c r="N28" s="49">
        <f t="shared" si="6"/>
        <v>0</v>
      </c>
      <c r="O28" s="49">
        <v>4</v>
      </c>
      <c r="P28" s="49">
        <f t="shared" si="7"/>
        <v>0</v>
      </c>
      <c r="Q28" s="49">
        <v>6</v>
      </c>
      <c r="R28" s="49">
        <f t="shared" si="8"/>
        <v>0.6923076923076924</v>
      </c>
      <c r="S28" s="49">
        <v>5</v>
      </c>
      <c r="T28" s="49">
        <f t="shared" si="9"/>
        <v>0.6923076923076924</v>
      </c>
      <c r="U28" s="14" t="s">
        <v>57</v>
      </c>
      <c r="V28" s="14"/>
    </row>
    <row r="29" spans="1:22" x14ac:dyDescent="0.35">
      <c r="A29" s="15"/>
      <c r="B29" s="15" t="s">
        <v>83</v>
      </c>
      <c r="C29" s="15" t="s">
        <v>30</v>
      </c>
      <c r="D29" s="12">
        <v>3</v>
      </c>
      <c r="E29" s="48">
        <f t="shared" si="0"/>
        <v>665</v>
      </c>
      <c r="F29" s="48">
        <f t="shared" si="1"/>
        <v>773</v>
      </c>
      <c r="G29" s="48">
        <f t="shared" si="2"/>
        <v>490</v>
      </c>
      <c r="H29" s="48">
        <f t="shared" si="3"/>
        <v>0.42556390977443609</v>
      </c>
      <c r="I29" s="15">
        <v>490</v>
      </c>
      <c r="J29" s="15">
        <f t="shared" si="4"/>
        <v>0</v>
      </c>
      <c r="K29" s="48">
        <v>747</v>
      </c>
      <c r="L29" s="48">
        <f t="shared" si="5"/>
        <v>1.2766917293233082</v>
      </c>
      <c r="M29" s="48">
        <v>773</v>
      </c>
      <c r="N29" s="48">
        <f t="shared" si="6"/>
        <v>1.2766917293233082</v>
      </c>
      <c r="O29" s="48">
        <v>537</v>
      </c>
      <c r="P29" s="48">
        <f t="shared" si="7"/>
        <v>0</v>
      </c>
      <c r="Q29" s="48">
        <v>771</v>
      </c>
      <c r="R29" s="48">
        <f t="shared" si="8"/>
        <v>1.2766917293233082</v>
      </c>
      <c r="S29" s="48">
        <v>672</v>
      </c>
      <c r="T29" s="48">
        <f t="shared" si="9"/>
        <v>1.2766917293233082</v>
      </c>
      <c r="U29" s="15" t="s">
        <v>84</v>
      </c>
      <c r="V29" s="15"/>
    </row>
    <row r="30" spans="1:22" x14ac:dyDescent="0.35">
      <c r="A30" s="14"/>
      <c r="B30" s="14" t="s">
        <v>85</v>
      </c>
      <c r="C30" s="14" t="s">
        <v>45</v>
      </c>
      <c r="D30" s="12">
        <v>5</v>
      </c>
      <c r="E30" s="49">
        <f t="shared" si="0"/>
        <v>3103.8888888888891</v>
      </c>
      <c r="F30" s="49">
        <f t="shared" si="1"/>
        <v>4773.3333333333339</v>
      </c>
      <c r="G30" s="49">
        <f t="shared" si="2"/>
        <v>2406.666666666667</v>
      </c>
      <c r="H30" s="49">
        <f t="shared" si="3"/>
        <v>0.76248433864327902</v>
      </c>
      <c r="I30" s="53">
        <v>2406.666666666667</v>
      </c>
      <c r="J30" s="14">
        <f t="shared" si="4"/>
        <v>0</v>
      </c>
      <c r="K30" s="49">
        <v>2553.3333333333335</v>
      </c>
      <c r="L30" s="49">
        <f t="shared" si="5"/>
        <v>0</v>
      </c>
      <c r="M30" s="49">
        <v>3410</v>
      </c>
      <c r="N30" s="49">
        <f t="shared" si="6"/>
        <v>3.812421693216395</v>
      </c>
      <c r="O30" s="49">
        <v>2516.666666666667</v>
      </c>
      <c r="P30" s="49">
        <f t="shared" si="7"/>
        <v>0</v>
      </c>
      <c r="Q30" s="49">
        <v>4773.3333333333339</v>
      </c>
      <c r="R30" s="49">
        <f t="shared" si="8"/>
        <v>3.812421693216395</v>
      </c>
      <c r="S30" s="49">
        <v>2963.3333333333335</v>
      </c>
      <c r="T30" s="49">
        <f t="shared" si="9"/>
        <v>0</v>
      </c>
      <c r="U30" s="14" t="s">
        <v>86</v>
      </c>
      <c r="V30" s="14"/>
    </row>
    <row r="31" spans="1:22" x14ac:dyDescent="0.35">
      <c r="A31" s="13"/>
      <c r="B31" s="13" t="s">
        <v>87</v>
      </c>
      <c r="C31" s="13" t="s">
        <v>45</v>
      </c>
      <c r="D31" s="12">
        <v>1</v>
      </c>
      <c r="E31" s="47">
        <f t="shared" si="0"/>
        <v>172.22222222222226</v>
      </c>
      <c r="F31" s="47">
        <f t="shared" si="1"/>
        <v>293.33333333333337</v>
      </c>
      <c r="G31" s="47">
        <f t="shared" si="2"/>
        <v>106.66666666666667</v>
      </c>
      <c r="H31" s="47">
        <f t="shared" si="3"/>
        <v>1.0838709677419354</v>
      </c>
      <c r="I31" s="51">
        <v>106.66666666666667</v>
      </c>
      <c r="J31" s="13">
        <f t="shared" si="4"/>
        <v>0</v>
      </c>
      <c r="K31" s="47">
        <v>130</v>
      </c>
      <c r="L31" s="47">
        <f t="shared" si="5"/>
        <v>0</v>
      </c>
      <c r="M31" s="47">
        <v>250</v>
      </c>
      <c r="N31" s="47">
        <f t="shared" si="6"/>
        <v>1.0838709677419354</v>
      </c>
      <c r="O31" s="47">
        <v>113.33333333333334</v>
      </c>
      <c r="P31" s="47">
        <f t="shared" si="7"/>
        <v>0</v>
      </c>
      <c r="Q31" s="47">
        <v>293.33333333333337</v>
      </c>
      <c r="R31" s="47">
        <f t="shared" si="8"/>
        <v>1.0838709677419354</v>
      </c>
      <c r="S31" s="47">
        <v>140</v>
      </c>
      <c r="T31" s="47">
        <f t="shared" si="9"/>
        <v>0</v>
      </c>
      <c r="U31" s="13" t="s">
        <v>88</v>
      </c>
      <c r="V31" s="13"/>
    </row>
    <row r="32" spans="1:22" x14ac:dyDescent="0.35">
      <c r="A32" s="14"/>
      <c r="B32" s="14" t="s">
        <v>89</v>
      </c>
      <c r="C32" s="14" t="s">
        <v>109</v>
      </c>
      <c r="D32" s="12">
        <v>1</v>
      </c>
      <c r="E32" s="49">
        <f t="shared" si="0"/>
        <v>4.333333333333333</v>
      </c>
      <c r="F32" s="49">
        <f t="shared" si="1"/>
        <v>6</v>
      </c>
      <c r="G32" s="49">
        <f t="shared" si="2"/>
        <v>3</v>
      </c>
      <c r="H32" s="49">
        <f t="shared" si="3"/>
        <v>0.6923076923076924</v>
      </c>
      <c r="I32" s="14">
        <v>3</v>
      </c>
      <c r="J32" s="14">
        <f t="shared" si="4"/>
        <v>0</v>
      </c>
      <c r="K32" s="49">
        <v>4</v>
      </c>
      <c r="L32" s="49">
        <f t="shared" si="5"/>
        <v>0</v>
      </c>
      <c r="M32" s="49">
        <v>4</v>
      </c>
      <c r="N32" s="49">
        <f t="shared" si="6"/>
        <v>0</v>
      </c>
      <c r="O32" s="49">
        <v>5</v>
      </c>
      <c r="P32" s="49">
        <f t="shared" si="7"/>
        <v>0.6923076923076924</v>
      </c>
      <c r="Q32" s="49">
        <v>6</v>
      </c>
      <c r="R32" s="49">
        <f t="shared" si="8"/>
        <v>0.6923076923076924</v>
      </c>
      <c r="S32" s="49">
        <v>4</v>
      </c>
      <c r="T32" s="49">
        <f t="shared" si="9"/>
        <v>0</v>
      </c>
      <c r="U32" s="14" t="s">
        <v>90</v>
      </c>
      <c r="V32" s="14"/>
    </row>
    <row r="33" spans="1:22" x14ac:dyDescent="0.35">
      <c r="A33" s="14"/>
      <c r="B33" s="14" t="s">
        <v>91</v>
      </c>
      <c r="C33" s="14" t="s">
        <v>109</v>
      </c>
      <c r="D33" s="12">
        <v>1</v>
      </c>
      <c r="E33" s="49">
        <f t="shared" si="0"/>
        <v>3.8333333333333335</v>
      </c>
      <c r="F33" s="49">
        <f t="shared" si="1"/>
        <v>6</v>
      </c>
      <c r="G33" s="49">
        <f t="shared" si="2"/>
        <v>3</v>
      </c>
      <c r="H33" s="49">
        <f t="shared" si="3"/>
        <v>0.78260869565217384</v>
      </c>
      <c r="I33" s="14">
        <v>3</v>
      </c>
      <c r="J33" s="14">
        <f t="shared" si="4"/>
        <v>0</v>
      </c>
      <c r="K33" s="49">
        <v>3</v>
      </c>
      <c r="L33" s="49">
        <f t="shared" si="5"/>
        <v>0</v>
      </c>
      <c r="M33" s="49">
        <v>3</v>
      </c>
      <c r="N33" s="49">
        <f t="shared" si="6"/>
        <v>0</v>
      </c>
      <c r="O33" s="49">
        <v>5</v>
      </c>
      <c r="P33" s="49">
        <f t="shared" si="7"/>
        <v>0.78260869565217384</v>
      </c>
      <c r="Q33" s="49">
        <v>6</v>
      </c>
      <c r="R33" s="49">
        <f t="shared" si="8"/>
        <v>0.78260869565217384</v>
      </c>
      <c r="S33" s="49">
        <v>3</v>
      </c>
      <c r="T33" s="49">
        <f t="shared" si="9"/>
        <v>0</v>
      </c>
      <c r="U33" s="14" t="s">
        <v>92</v>
      </c>
      <c r="V33" s="14" t="s">
        <v>93</v>
      </c>
    </row>
    <row r="34" spans="1:22" x14ac:dyDescent="0.35">
      <c r="A34" s="14"/>
      <c r="B34" s="14" t="s">
        <v>94</v>
      </c>
      <c r="C34" s="14" t="s">
        <v>95</v>
      </c>
      <c r="D34" s="12">
        <v>7</v>
      </c>
      <c r="E34" s="49">
        <f t="shared" si="0"/>
        <v>410861</v>
      </c>
      <c r="F34" s="49">
        <f t="shared" si="1"/>
        <v>562512</v>
      </c>
      <c r="G34" s="49">
        <f t="shared" si="2"/>
        <v>319415</v>
      </c>
      <c r="H34" s="49">
        <f t="shared" si="3"/>
        <v>0.59167699051504041</v>
      </c>
      <c r="I34" s="14">
        <v>319415</v>
      </c>
      <c r="J34" s="14">
        <f t="shared" si="4"/>
        <v>0</v>
      </c>
      <c r="K34" s="49">
        <v>403111</v>
      </c>
      <c r="L34" s="49">
        <f t="shared" si="5"/>
        <v>0</v>
      </c>
      <c r="M34" s="49">
        <v>392209</v>
      </c>
      <c r="N34" s="49">
        <f t="shared" si="6"/>
        <v>0</v>
      </c>
      <c r="O34" s="49">
        <v>347566</v>
      </c>
      <c r="P34" s="49">
        <f t="shared" si="7"/>
        <v>0</v>
      </c>
      <c r="Q34" s="49">
        <v>562512</v>
      </c>
      <c r="R34" s="49">
        <f t="shared" si="8"/>
        <v>4.141738933605283</v>
      </c>
      <c r="S34" s="49">
        <v>440353</v>
      </c>
      <c r="T34" s="49">
        <f t="shared" si="9"/>
        <v>4.141738933605283</v>
      </c>
      <c r="U34" s="14" t="s">
        <v>96</v>
      </c>
      <c r="V34" s="14"/>
    </row>
    <row r="35" spans="1:22" x14ac:dyDescent="0.35">
      <c r="A35" s="14"/>
      <c r="B35" s="14" t="s">
        <v>97</v>
      </c>
      <c r="C35" s="14" t="s">
        <v>109</v>
      </c>
      <c r="D35" s="12">
        <v>3</v>
      </c>
      <c r="E35" s="49">
        <f t="shared" si="0"/>
        <v>4.833333333333333</v>
      </c>
      <c r="F35" s="49">
        <f t="shared" si="1"/>
        <v>6</v>
      </c>
      <c r="G35" s="49">
        <f t="shared" si="2"/>
        <v>3</v>
      </c>
      <c r="H35" s="49">
        <f t="shared" si="3"/>
        <v>0.62068965517241381</v>
      </c>
      <c r="I35" s="14">
        <v>3</v>
      </c>
      <c r="J35" s="14">
        <f t="shared" si="4"/>
        <v>0</v>
      </c>
      <c r="K35" s="49">
        <v>5</v>
      </c>
      <c r="L35" s="49">
        <f t="shared" si="5"/>
        <v>1.8620689655172415</v>
      </c>
      <c r="M35" s="49">
        <v>6</v>
      </c>
      <c r="N35" s="49">
        <f t="shared" si="6"/>
        <v>1.8620689655172415</v>
      </c>
      <c r="O35" s="49">
        <v>4</v>
      </c>
      <c r="P35" s="49">
        <f t="shared" si="7"/>
        <v>0</v>
      </c>
      <c r="Q35" s="49">
        <v>6</v>
      </c>
      <c r="R35" s="49">
        <f t="shared" si="8"/>
        <v>1.8620689655172415</v>
      </c>
      <c r="S35" s="49">
        <v>5</v>
      </c>
      <c r="T35" s="49">
        <f t="shared" si="9"/>
        <v>1.8620689655172415</v>
      </c>
      <c r="U35" s="14" t="s">
        <v>98</v>
      </c>
      <c r="V35" s="14"/>
    </row>
    <row r="36" spans="1:22" x14ac:dyDescent="0.35">
      <c r="A36" s="32"/>
      <c r="B36" s="32"/>
      <c r="C36" s="32"/>
      <c r="D36" s="12"/>
      <c r="E36" s="32"/>
      <c r="F36" s="32"/>
      <c r="G36" s="32"/>
      <c r="H36" s="32"/>
      <c r="I36" s="32"/>
      <c r="J36" s="54">
        <f>SUM(J2:J35)</f>
        <v>51.419512531357924</v>
      </c>
      <c r="K36" s="50"/>
      <c r="L36" s="50">
        <f>SUM(L2:L35)</f>
        <v>101.38588175953423</v>
      </c>
      <c r="M36" s="50"/>
      <c r="N36" s="50">
        <f>SUM(N2:N35)</f>
        <v>131.77538335090975</v>
      </c>
      <c r="O36" s="50"/>
      <c r="P36" s="50">
        <f>SUM(P2:P35)</f>
        <v>64.36542059991416</v>
      </c>
      <c r="Q36" s="50"/>
      <c r="R36" s="50">
        <f>SUM(R2:R35)</f>
        <v>129.57188600655178</v>
      </c>
      <c r="S36" s="50"/>
      <c r="T36" s="50">
        <f>SUM(T2:T35)</f>
        <v>73.840515155628978</v>
      </c>
      <c r="U36" s="32" t="s">
        <v>121</v>
      </c>
      <c r="V36" s="32"/>
    </row>
    <row r="41" spans="1:22" x14ac:dyDescent="0.35">
      <c r="B41" s="11" t="s">
        <v>110</v>
      </c>
      <c r="C41" s="6" t="s">
        <v>99</v>
      </c>
    </row>
    <row r="42" spans="1:22" x14ac:dyDescent="0.35">
      <c r="B42" s="12" t="s">
        <v>100</v>
      </c>
      <c r="C42" s="4">
        <v>6</v>
      </c>
    </row>
    <row r="43" spans="1:22" x14ac:dyDescent="0.35">
      <c r="B43" s="12" t="s">
        <v>103</v>
      </c>
      <c r="C43" s="4">
        <v>0</v>
      </c>
    </row>
    <row r="44" spans="1:22" x14ac:dyDescent="0.35">
      <c r="B44" s="10"/>
      <c r="C44" s="1"/>
    </row>
    <row r="45" spans="1:22" x14ac:dyDescent="0.35">
      <c r="B45" s="10"/>
      <c r="C45" s="1"/>
    </row>
    <row r="46" spans="1:22" x14ac:dyDescent="0.35">
      <c r="B46" s="11" t="s">
        <v>104</v>
      </c>
      <c r="C46" s="6" t="s">
        <v>99</v>
      </c>
    </row>
    <row r="47" spans="1:22" x14ac:dyDescent="0.35">
      <c r="B47" s="12" t="s">
        <v>100</v>
      </c>
      <c r="C47" s="4">
        <v>10</v>
      </c>
    </row>
    <row r="48" spans="1:22" x14ac:dyDescent="0.35">
      <c r="B48" s="12" t="s">
        <v>103</v>
      </c>
      <c r="C48" s="4">
        <v>0</v>
      </c>
    </row>
    <row r="49" spans="2:3" x14ac:dyDescent="0.35">
      <c r="B49" s="10"/>
      <c r="C49" s="1"/>
    </row>
    <row r="50" spans="2:3" x14ac:dyDescent="0.35">
      <c r="B50" s="10"/>
      <c r="C50" s="1"/>
    </row>
    <row r="51" spans="2:3" x14ac:dyDescent="0.35">
      <c r="B51" s="11" t="s">
        <v>111</v>
      </c>
      <c r="C51" s="6" t="s">
        <v>99</v>
      </c>
    </row>
    <row r="52" spans="2:3" x14ac:dyDescent="0.35">
      <c r="B52" s="13" t="s">
        <v>112</v>
      </c>
      <c r="C52" s="4" t="s">
        <v>113</v>
      </c>
    </row>
    <row r="53" spans="2:3" x14ac:dyDescent="0.35">
      <c r="B53" s="14" t="s">
        <v>114</v>
      </c>
      <c r="C53" s="4" t="s">
        <v>115</v>
      </c>
    </row>
    <row r="54" spans="2:3" x14ac:dyDescent="0.35">
      <c r="B54" s="15" t="s">
        <v>116</v>
      </c>
      <c r="C54" s="4" t="s">
        <v>117</v>
      </c>
    </row>
    <row r="55" spans="2:3" x14ac:dyDescent="0.35">
      <c r="B55" s="10"/>
    </row>
  </sheetData>
  <conditionalFormatting sqref="H2:H35">
    <cfRule type="cellIs" dxfId="20" priority="1" operator="lessThan">
      <formula>0.5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E2A7-D3B8-9741-AE11-1BD370C062D7}">
  <dimension ref="A1:BA51"/>
  <sheetViews>
    <sheetView zoomScale="60" zoomScaleNormal="60" workbookViewId="0">
      <selection activeCell="C1" sqref="C1"/>
    </sheetView>
  </sheetViews>
  <sheetFormatPr defaultColWidth="8.81640625" defaultRowHeight="15.5" x14ac:dyDescent="0.35"/>
  <cols>
    <col min="1" max="1" width="16.7265625" style="16" customWidth="1"/>
    <col min="2" max="2" width="73.54296875" style="16" customWidth="1"/>
    <col min="3" max="3" width="9.81640625" style="16" customWidth="1"/>
    <col min="4" max="4" width="8.26953125" style="17" bestFit="1" customWidth="1"/>
    <col min="5" max="5" width="13.453125" style="17" customWidth="1"/>
    <col min="6" max="6" width="12.7265625" style="17" customWidth="1"/>
    <col min="7" max="7" width="4.26953125" style="17" customWidth="1"/>
    <col min="8" max="8" width="18.81640625" style="17" bestFit="1" customWidth="1"/>
    <col min="9" max="9" width="5.1796875" style="17" customWidth="1"/>
    <col min="10" max="10" width="16.7265625" style="17" bestFit="1" customWidth="1"/>
    <col min="11" max="11" width="6.7265625" style="17" customWidth="1"/>
    <col min="12" max="12" width="25.26953125" style="17" bestFit="1" customWidth="1"/>
    <col min="13" max="13" width="6" style="17" customWidth="1"/>
    <col min="14" max="14" width="16.453125" style="17" bestFit="1" customWidth="1"/>
    <col min="15" max="15" width="5.54296875" style="17" customWidth="1"/>
    <col min="16" max="16" width="15.7265625" style="17" bestFit="1" customWidth="1"/>
    <col min="17" max="17" width="5.26953125" style="17" customWidth="1"/>
    <col min="18" max="18" width="72.453125" style="16" customWidth="1"/>
    <col min="19" max="19" width="57" style="16" bestFit="1" customWidth="1"/>
    <col min="20" max="16384" width="8.81640625" style="16"/>
  </cols>
  <sheetData>
    <row r="1" spans="1:19" s="2" customFormat="1" ht="31" x14ac:dyDescent="0.35">
      <c r="A1" s="29" t="s">
        <v>0</v>
      </c>
      <c r="B1" s="29" t="s">
        <v>1</v>
      </c>
      <c r="C1" s="29" t="s">
        <v>3</v>
      </c>
      <c r="D1" s="31" t="s">
        <v>2</v>
      </c>
      <c r="E1" s="31" t="s">
        <v>107</v>
      </c>
      <c r="F1" s="31" t="s">
        <v>5</v>
      </c>
      <c r="G1" s="31" t="s">
        <v>118</v>
      </c>
      <c r="H1" s="31" t="s">
        <v>6</v>
      </c>
      <c r="I1" s="31" t="s">
        <v>118</v>
      </c>
      <c r="J1" s="31" t="s">
        <v>7</v>
      </c>
      <c r="K1" s="31" t="s">
        <v>118</v>
      </c>
      <c r="L1" s="31" t="s">
        <v>8</v>
      </c>
      <c r="M1" s="31" t="s">
        <v>118</v>
      </c>
      <c r="N1" s="31" t="s">
        <v>9</v>
      </c>
      <c r="O1" s="31" t="s">
        <v>118</v>
      </c>
      <c r="P1" s="31" t="s">
        <v>10</v>
      </c>
      <c r="Q1" s="31" t="s">
        <v>118</v>
      </c>
      <c r="R1" s="29" t="s">
        <v>11</v>
      </c>
      <c r="S1" s="29" t="s">
        <v>12</v>
      </c>
    </row>
    <row r="2" spans="1:19" x14ac:dyDescent="0.35">
      <c r="A2" s="33" t="s">
        <v>13</v>
      </c>
      <c r="B2" s="33" t="s">
        <v>14</v>
      </c>
      <c r="C2" s="33">
        <v>9</v>
      </c>
      <c r="D2" s="34" t="s">
        <v>119</v>
      </c>
      <c r="E2" s="35">
        <v>2.6086956521739131</v>
      </c>
      <c r="F2" s="34">
        <v>5</v>
      </c>
      <c r="G2" s="34">
        <f t="shared" ref="G2:G35" si="0">IF($C2&gt;0,(7-F2)*$C2,(7-F2))*$E2</f>
        <v>46.956521739130437</v>
      </c>
      <c r="H2" s="34">
        <v>3</v>
      </c>
      <c r="I2" s="34">
        <f>IF($C2&gt;0,(7-H2)*$C2,(7-H2))*E2</f>
        <v>93.913043478260875</v>
      </c>
      <c r="J2" s="34">
        <v>2</v>
      </c>
      <c r="K2" s="34">
        <f>IF($C2&gt;0,(7-J2)*$C2,(7-J2))*E2</f>
        <v>117.39130434782609</v>
      </c>
      <c r="L2" s="34">
        <v>5</v>
      </c>
      <c r="M2" s="34">
        <f>IF($C2&gt;0,(7-L2)*$C2,(7-L2))*E2</f>
        <v>46.956521739130437</v>
      </c>
      <c r="N2" s="34">
        <v>1</v>
      </c>
      <c r="O2" s="34">
        <f>IF($C2&gt;0,(7-N2)*$C2,(7-N2))*E2</f>
        <v>140.86956521739131</v>
      </c>
      <c r="P2" s="34">
        <v>3</v>
      </c>
      <c r="Q2" s="34">
        <f>IF($C2&gt;0,(7-P2)*$C2,(7-P2))*E2</f>
        <v>93.913043478260875</v>
      </c>
      <c r="R2" s="33" t="s">
        <v>16</v>
      </c>
      <c r="S2" s="33"/>
    </row>
    <row r="3" spans="1:19" x14ac:dyDescent="0.35">
      <c r="A3" s="33"/>
      <c r="B3" s="33" t="s">
        <v>17</v>
      </c>
      <c r="C3" s="33">
        <v>7</v>
      </c>
      <c r="D3" s="34" t="s">
        <v>119</v>
      </c>
      <c r="E3" s="35">
        <v>1.875</v>
      </c>
      <c r="F3" s="34">
        <v>6</v>
      </c>
      <c r="G3" s="34">
        <f t="shared" si="0"/>
        <v>13.125</v>
      </c>
      <c r="H3" s="34">
        <v>3</v>
      </c>
      <c r="I3" s="34">
        <f t="shared" ref="I3:I35" si="1">IF($C3&gt;0,(7-H3)*$C3,(7-H3))*E3</f>
        <v>52.5</v>
      </c>
      <c r="J3" s="34">
        <v>2</v>
      </c>
      <c r="K3" s="34">
        <f t="shared" ref="K3:K35" si="2">IF($C3&gt;0,(7-J3)*$C3,(7-J3))*E3</f>
        <v>65.625</v>
      </c>
      <c r="L3" s="34">
        <v>5</v>
      </c>
      <c r="M3" s="34">
        <f t="shared" ref="M3:M35" si="3">IF($C3&gt;0,(7-L3)*$C3,(7-L3))*E3</f>
        <v>26.25</v>
      </c>
      <c r="N3" s="34">
        <v>1</v>
      </c>
      <c r="O3" s="34">
        <f t="shared" ref="O3:O35" si="4">IF($C3&gt;0,(7-N3)*$C3,(7-N3))*E3</f>
        <v>78.75</v>
      </c>
      <c r="P3" s="34">
        <v>3</v>
      </c>
      <c r="Q3" s="34">
        <f t="shared" ref="Q3:Q35" si="5">IF($C3&gt;0,(7-P3)*$C3,(7-P3))*E3</f>
        <v>52.5</v>
      </c>
      <c r="R3" s="33" t="s">
        <v>18</v>
      </c>
      <c r="S3" s="33"/>
    </row>
    <row r="4" spans="1:19" x14ac:dyDescent="0.35">
      <c r="A4" s="33"/>
      <c r="B4" s="33" t="s">
        <v>19</v>
      </c>
      <c r="C4" s="33">
        <v>1</v>
      </c>
      <c r="D4" s="34" t="s">
        <v>119</v>
      </c>
      <c r="E4" s="36">
        <v>0.15127734179328767</v>
      </c>
      <c r="F4" s="34">
        <v>6</v>
      </c>
      <c r="G4" s="34">
        <f t="shared" si="0"/>
        <v>0.15127734179328767</v>
      </c>
      <c r="H4" s="34">
        <v>3</v>
      </c>
      <c r="I4" s="34">
        <f t="shared" si="1"/>
        <v>0.60510936717315067</v>
      </c>
      <c r="J4" s="34">
        <v>4</v>
      </c>
      <c r="K4" s="34">
        <f t="shared" si="2"/>
        <v>0.453832025379863</v>
      </c>
      <c r="L4" s="34">
        <v>5</v>
      </c>
      <c r="M4" s="34">
        <f t="shared" si="3"/>
        <v>0.30255468358657533</v>
      </c>
      <c r="N4" s="34">
        <v>1</v>
      </c>
      <c r="O4" s="34">
        <f t="shared" si="4"/>
        <v>0.907664050759726</v>
      </c>
      <c r="P4" s="34">
        <v>2</v>
      </c>
      <c r="Q4" s="34">
        <f t="shared" si="5"/>
        <v>0.75638670896643834</v>
      </c>
      <c r="R4" s="33" t="s">
        <v>21</v>
      </c>
      <c r="S4" s="33"/>
    </row>
    <row r="5" spans="1:19" x14ac:dyDescent="0.35">
      <c r="A5" s="33"/>
      <c r="B5" s="33" t="s">
        <v>22</v>
      </c>
      <c r="C5" s="33">
        <v>1</v>
      </c>
      <c r="D5" s="34" t="s">
        <v>119</v>
      </c>
      <c r="E5" s="36">
        <v>0.26460010275732138</v>
      </c>
      <c r="F5" s="34">
        <v>6</v>
      </c>
      <c r="G5" s="34">
        <f t="shared" si="0"/>
        <v>0.26460010275732138</v>
      </c>
      <c r="H5" s="34">
        <v>2</v>
      </c>
      <c r="I5" s="34">
        <f t="shared" si="1"/>
        <v>1.323000513786607</v>
      </c>
      <c r="J5" s="34">
        <v>1</v>
      </c>
      <c r="K5" s="34">
        <f t="shared" si="2"/>
        <v>1.5876006165439283</v>
      </c>
      <c r="L5" s="34">
        <v>5</v>
      </c>
      <c r="M5" s="34">
        <f t="shared" si="3"/>
        <v>0.52920020551464275</v>
      </c>
      <c r="N5" s="34">
        <v>4</v>
      </c>
      <c r="O5" s="34">
        <f t="shared" si="4"/>
        <v>0.79380030827196413</v>
      </c>
      <c r="P5" s="34">
        <v>3</v>
      </c>
      <c r="Q5" s="34">
        <f t="shared" si="5"/>
        <v>1.0584004110292855</v>
      </c>
      <c r="R5" s="33" t="s">
        <v>23</v>
      </c>
      <c r="S5" s="33"/>
    </row>
    <row r="6" spans="1:19" x14ac:dyDescent="0.35">
      <c r="A6" s="33"/>
      <c r="B6" s="33" t="s">
        <v>24</v>
      </c>
      <c r="C6" s="33">
        <v>1</v>
      </c>
      <c r="D6" s="34" t="s">
        <v>119</v>
      </c>
      <c r="E6" s="36">
        <v>0.36422613531047265</v>
      </c>
      <c r="F6" s="34">
        <v>6</v>
      </c>
      <c r="G6" s="34">
        <f t="shared" si="0"/>
        <v>0.36422613531047265</v>
      </c>
      <c r="H6" s="34">
        <v>2</v>
      </c>
      <c r="I6" s="34">
        <f t="shared" si="1"/>
        <v>1.8211306765523632</v>
      </c>
      <c r="J6" s="34">
        <v>1</v>
      </c>
      <c r="K6" s="34">
        <f t="shared" si="2"/>
        <v>2.1853568118628361</v>
      </c>
      <c r="L6" s="34">
        <v>5</v>
      </c>
      <c r="M6" s="34">
        <f t="shared" si="3"/>
        <v>0.72845227062094531</v>
      </c>
      <c r="N6" s="34">
        <v>4</v>
      </c>
      <c r="O6" s="34">
        <f t="shared" si="4"/>
        <v>1.0926784059314181</v>
      </c>
      <c r="P6" s="34">
        <v>3</v>
      </c>
      <c r="Q6" s="34">
        <f t="shared" si="5"/>
        <v>1.4569045412418906</v>
      </c>
      <c r="R6" s="33" t="s">
        <v>26</v>
      </c>
      <c r="S6" s="33"/>
    </row>
    <row r="7" spans="1:19" x14ac:dyDescent="0.35">
      <c r="A7" s="33"/>
      <c r="B7" s="33" t="s">
        <v>27</v>
      </c>
      <c r="C7" s="33">
        <v>1</v>
      </c>
      <c r="D7" s="34" t="s">
        <v>119</v>
      </c>
      <c r="E7" s="35">
        <v>1.6666666666666667</v>
      </c>
      <c r="F7" s="34">
        <v>6</v>
      </c>
      <c r="G7" s="34">
        <f t="shared" si="0"/>
        <v>1.6666666666666667</v>
      </c>
      <c r="H7" s="34">
        <v>2</v>
      </c>
      <c r="I7" s="34">
        <f t="shared" si="1"/>
        <v>8.3333333333333339</v>
      </c>
      <c r="J7" s="34">
        <v>1</v>
      </c>
      <c r="K7" s="34">
        <f t="shared" si="2"/>
        <v>10</v>
      </c>
      <c r="L7" s="34">
        <v>5</v>
      </c>
      <c r="M7" s="34">
        <f t="shared" si="3"/>
        <v>3.3333333333333335</v>
      </c>
      <c r="N7" s="34">
        <v>3</v>
      </c>
      <c r="O7" s="34">
        <f t="shared" si="4"/>
        <v>6.666666666666667</v>
      </c>
      <c r="P7" s="34">
        <v>4</v>
      </c>
      <c r="Q7" s="34">
        <f t="shared" si="5"/>
        <v>5</v>
      </c>
      <c r="R7" s="33" t="s">
        <v>28</v>
      </c>
      <c r="S7" s="33"/>
    </row>
    <row r="8" spans="1:19" x14ac:dyDescent="0.35">
      <c r="A8" s="33"/>
      <c r="B8" s="33" t="s">
        <v>29</v>
      </c>
      <c r="C8" s="33">
        <v>1</v>
      </c>
      <c r="D8" s="34" t="s">
        <v>119</v>
      </c>
      <c r="E8" s="35">
        <v>2.7914268001062794</v>
      </c>
      <c r="F8" s="34">
        <v>6</v>
      </c>
      <c r="G8" s="34">
        <f t="shared" si="0"/>
        <v>2.7914268001062794</v>
      </c>
      <c r="H8" s="34">
        <v>1</v>
      </c>
      <c r="I8" s="34">
        <f t="shared" si="1"/>
        <v>16.748560800637676</v>
      </c>
      <c r="J8" s="34">
        <v>1</v>
      </c>
      <c r="K8" s="34">
        <f t="shared" si="2"/>
        <v>16.748560800637676</v>
      </c>
      <c r="L8" s="34">
        <v>5</v>
      </c>
      <c r="M8" s="34">
        <f t="shared" si="3"/>
        <v>5.5828536002125588</v>
      </c>
      <c r="N8" s="34">
        <v>3</v>
      </c>
      <c r="O8" s="34">
        <f t="shared" si="4"/>
        <v>11.165707200425118</v>
      </c>
      <c r="P8" s="34">
        <v>4</v>
      </c>
      <c r="Q8" s="34">
        <f t="shared" si="5"/>
        <v>8.3742804003188382</v>
      </c>
      <c r="R8" s="33" t="s">
        <v>31</v>
      </c>
      <c r="S8" s="33"/>
    </row>
    <row r="9" spans="1:19" x14ac:dyDescent="0.35">
      <c r="A9" s="33"/>
      <c r="B9" s="33" t="s">
        <v>32</v>
      </c>
      <c r="C9" s="33">
        <v>18</v>
      </c>
      <c r="D9" s="34" t="s">
        <v>119</v>
      </c>
      <c r="E9" s="37">
        <v>0.64285714285714279</v>
      </c>
      <c r="F9" s="34">
        <v>6</v>
      </c>
      <c r="G9" s="34">
        <f t="shared" si="0"/>
        <v>11.571428571428569</v>
      </c>
      <c r="H9" s="34">
        <v>3</v>
      </c>
      <c r="I9" s="34">
        <f t="shared" si="1"/>
        <v>46.285714285714278</v>
      </c>
      <c r="J9" s="34">
        <v>1</v>
      </c>
      <c r="K9" s="34">
        <f t="shared" si="2"/>
        <v>69.428571428571416</v>
      </c>
      <c r="L9" s="34">
        <v>5</v>
      </c>
      <c r="M9" s="34">
        <f t="shared" si="3"/>
        <v>23.142857142857139</v>
      </c>
      <c r="N9" s="34">
        <v>2</v>
      </c>
      <c r="O9" s="34">
        <f t="shared" si="4"/>
        <v>57.857142857142854</v>
      </c>
      <c r="P9" s="34">
        <v>4</v>
      </c>
      <c r="Q9" s="34">
        <f t="shared" si="5"/>
        <v>34.714285714285708</v>
      </c>
      <c r="R9" s="33" t="s">
        <v>34</v>
      </c>
      <c r="S9" s="33"/>
    </row>
    <row r="10" spans="1:19" x14ac:dyDescent="0.35">
      <c r="A10" s="33"/>
      <c r="B10" s="33" t="s">
        <v>35</v>
      </c>
      <c r="C10" s="33">
        <v>4</v>
      </c>
      <c r="D10" s="34" t="s">
        <v>119</v>
      </c>
      <c r="E10" s="35">
        <v>2.8466017650805204</v>
      </c>
      <c r="F10" s="34">
        <v>1</v>
      </c>
      <c r="G10" s="34">
        <f t="shared" si="0"/>
        <v>68.318442361932483</v>
      </c>
      <c r="H10" s="34">
        <v>5</v>
      </c>
      <c r="I10" s="34">
        <f t="shared" si="1"/>
        <v>22.772814120644163</v>
      </c>
      <c r="J10" s="34">
        <v>5</v>
      </c>
      <c r="K10" s="34">
        <f t="shared" si="2"/>
        <v>22.772814120644163</v>
      </c>
      <c r="L10" s="34">
        <v>2</v>
      </c>
      <c r="M10" s="34">
        <f t="shared" si="3"/>
        <v>56.932035301610412</v>
      </c>
      <c r="N10" s="34">
        <v>4</v>
      </c>
      <c r="O10" s="34">
        <f t="shared" si="4"/>
        <v>34.159221180966242</v>
      </c>
      <c r="P10" s="34">
        <v>3</v>
      </c>
      <c r="Q10" s="34">
        <f t="shared" si="5"/>
        <v>45.545628241288327</v>
      </c>
      <c r="R10" s="33" t="s">
        <v>37</v>
      </c>
      <c r="S10" s="33"/>
    </row>
    <row r="11" spans="1:19" x14ac:dyDescent="0.35">
      <c r="A11" s="33"/>
      <c r="B11" s="33" t="s">
        <v>38</v>
      </c>
      <c r="C11" s="33">
        <v>8</v>
      </c>
      <c r="D11" s="34" t="s">
        <v>119</v>
      </c>
      <c r="E11" s="37">
        <v>0.62068965517241381</v>
      </c>
      <c r="F11" s="34">
        <v>6</v>
      </c>
      <c r="G11" s="34">
        <f t="shared" si="0"/>
        <v>4.9655172413793105</v>
      </c>
      <c r="H11" s="34">
        <v>3</v>
      </c>
      <c r="I11" s="34">
        <f t="shared" si="1"/>
        <v>19.862068965517242</v>
      </c>
      <c r="J11" s="34">
        <v>1</v>
      </c>
      <c r="K11" s="34">
        <f t="shared" si="2"/>
        <v>29.793103448275865</v>
      </c>
      <c r="L11" s="34">
        <v>5</v>
      </c>
      <c r="M11" s="34">
        <f t="shared" si="3"/>
        <v>9.931034482758621</v>
      </c>
      <c r="N11" s="34">
        <v>2</v>
      </c>
      <c r="O11" s="34">
        <f t="shared" si="4"/>
        <v>24.827586206896552</v>
      </c>
      <c r="P11" s="34">
        <v>3</v>
      </c>
      <c r="Q11" s="34">
        <f t="shared" si="5"/>
        <v>19.862068965517242</v>
      </c>
      <c r="R11" s="33" t="s">
        <v>39</v>
      </c>
      <c r="S11" s="33"/>
    </row>
    <row r="12" spans="1:19" x14ac:dyDescent="0.35">
      <c r="A12" s="33"/>
      <c r="B12" s="33" t="s">
        <v>40</v>
      </c>
      <c r="C12" s="33">
        <v>1</v>
      </c>
      <c r="D12" s="34" t="s">
        <v>119</v>
      </c>
      <c r="E12" s="37">
        <v>0.62068965517241381</v>
      </c>
      <c r="F12" s="34">
        <v>6</v>
      </c>
      <c r="G12" s="34">
        <f t="shared" si="0"/>
        <v>0.62068965517241381</v>
      </c>
      <c r="H12" s="34">
        <v>3</v>
      </c>
      <c r="I12" s="34">
        <f t="shared" si="1"/>
        <v>2.4827586206896552</v>
      </c>
      <c r="J12" s="34">
        <v>1</v>
      </c>
      <c r="K12" s="34">
        <f t="shared" si="2"/>
        <v>3.7241379310344831</v>
      </c>
      <c r="L12" s="34">
        <v>5</v>
      </c>
      <c r="M12" s="34">
        <f t="shared" si="3"/>
        <v>1.2413793103448276</v>
      </c>
      <c r="N12" s="34">
        <v>2</v>
      </c>
      <c r="O12" s="34">
        <f t="shared" si="4"/>
        <v>3.103448275862069</v>
      </c>
      <c r="P12" s="34">
        <v>3</v>
      </c>
      <c r="Q12" s="34">
        <f t="shared" si="5"/>
        <v>2.4827586206896552</v>
      </c>
      <c r="R12" s="33" t="s">
        <v>39</v>
      </c>
      <c r="S12" s="33"/>
    </row>
    <row r="13" spans="1:19" x14ac:dyDescent="0.35">
      <c r="A13" s="33" t="s">
        <v>41</v>
      </c>
      <c r="B13" s="33" t="s">
        <v>42</v>
      </c>
      <c r="C13" s="33">
        <v>15</v>
      </c>
      <c r="D13" s="34" t="s">
        <v>119</v>
      </c>
      <c r="E13" s="35">
        <v>1.6666666666666667</v>
      </c>
      <c r="F13" s="34">
        <v>6</v>
      </c>
      <c r="G13" s="34">
        <f t="shared" si="0"/>
        <v>25</v>
      </c>
      <c r="H13" s="34">
        <v>2</v>
      </c>
      <c r="I13" s="34">
        <f t="shared" si="1"/>
        <v>125</v>
      </c>
      <c r="J13" s="34">
        <v>1</v>
      </c>
      <c r="K13" s="34">
        <f t="shared" si="2"/>
        <v>150</v>
      </c>
      <c r="L13" s="34">
        <v>4</v>
      </c>
      <c r="M13" s="34">
        <f t="shared" si="3"/>
        <v>75</v>
      </c>
      <c r="N13" s="34">
        <v>3</v>
      </c>
      <c r="O13" s="34">
        <f t="shared" si="4"/>
        <v>100</v>
      </c>
      <c r="P13" s="34">
        <v>5</v>
      </c>
      <c r="Q13" s="34">
        <f t="shared" si="5"/>
        <v>50</v>
      </c>
      <c r="R13" s="33" t="s">
        <v>43</v>
      </c>
      <c r="S13" s="33"/>
    </row>
    <row r="14" spans="1:19" x14ac:dyDescent="0.35">
      <c r="A14" s="33"/>
      <c r="B14" s="33" t="s">
        <v>44</v>
      </c>
      <c r="C14" s="33">
        <v>1</v>
      </c>
      <c r="D14" s="34" t="s">
        <v>119</v>
      </c>
      <c r="E14" s="37">
        <v>0.57861458981267222</v>
      </c>
      <c r="F14" s="34">
        <v>6</v>
      </c>
      <c r="G14" s="34">
        <f t="shared" si="0"/>
        <v>0.57861458981267222</v>
      </c>
      <c r="H14" s="34">
        <v>4</v>
      </c>
      <c r="I14" s="34">
        <f t="shared" si="1"/>
        <v>1.7358437694380167</v>
      </c>
      <c r="J14" s="34">
        <v>3</v>
      </c>
      <c r="K14" s="34">
        <f t="shared" si="2"/>
        <v>2.3144583592506889</v>
      </c>
      <c r="L14" s="34">
        <v>5</v>
      </c>
      <c r="M14" s="34">
        <f t="shared" si="3"/>
        <v>1.1572291796253444</v>
      </c>
      <c r="N14" s="34">
        <v>1</v>
      </c>
      <c r="O14" s="34">
        <f t="shared" si="4"/>
        <v>3.4716875388760333</v>
      </c>
      <c r="P14" s="34">
        <v>2</v>
      </c>
      <c r="Q14" s="34">
        <f t="shared" si="5"/>
        <v>2.8930729490633613</v>
      </c>
      <c r="R14" s="33" t="s">
        <v>46</v>
      </c>
      <c r="S14" s="33"/>
    </row>
    <row r="15" spans="1:19" x14ac:dyDescent="0.35">
      <c r="A15" s="33"/>
      <c r="B15" s="33" t="s">
        <v>47</v>
      </c>
      <c r="C15" s="33">
        <v>1</v>
      </c>
      <c r="D15" s="34" t="s">
        <v>119</v>
      </c>
      <c r="E15" s="36">
        <v>8.4325013929709286E-2</v>
      </c>
      <c r="F15" s="34">
        <v>6</v>
      </c>
      <c r="G15" s="34">
        <f t="shared" si="0"/>
        <v>8.4325013929709286E-2</v>
      </c>
      <c r="H15" s="34">
        <v>3</v>
      </c>
      <c r="I15" s="34">
        <f t="shared" si="1"/>
        <v>0.33730005571883714</v>
      </c>
      <c r="J15" s="34">
        <v>5</v>
      </c>
      <c r="K15" s="34">
        <f t="shared" si="2"/>
        <v>0.16865002785941857</v>
      </c>
      <c r="L15" s="34">
        <v>4</v>
      </c>
      <c r="M15" s="34">
        <f t="shared" si="3"/>
        <v>0.25297504178912789</v>
      </c>
      <c r="N15" s="34">
        <v>1</v>
      </c>
      <c r="O15" s="34">
        <f t="shared" si="4"/>
        <v>0.50595008357825577</v>
      </c>
      <c r="P15" s="34">
        <v>2</v>
      </c>
      <c r="Q15" s="34">
        <f t="shared" si="5"/>
        <v>0.4216250696485464</v>
      </c>
      <c r="R15" s="33" t="s">
        <v>49</v>
      </c>
      <c r="S15" s="33"/>
    </row>
    <row r="16" spans="1:19" x14ac:dyDescent="0.35">
      <c r="A16" s="33"/>
      <c r="B16" s="33" t="s">
        <v>50</v>
      </c>
      <c r="C16" s="33">
        <v>3</v>
      </c>
      <c r="D16" s="34" t="s">
        <v>119</v>
      </c>
      <c r="E16" s="37">
        <v>0.66666666666666663</v>
      </c>
      <c r="F16" s="34">
        <v>2</v>
      </c>
      <c r="G16" s="34">
        <f t="shared" si="0"/>
        <v>10</v>
      </c>
      <c r="H16" s="34">
        <v>2</v>
      </c>
      <c r="I16" s="34">
        <f t="shared" si="1"/>
        <v>10</v>
      </c>
      <c r="J16" s="34">
        <v>1</v>
      </c>
      <c r="K16" s="34">
        <f t="shared" si="2"/>
        <v>12</v>
      </c>
      <c r="L16" s="34">
        <v>2</v>
      </c>
      <c r="M16" s="34">
        <f t="shared" si="3"/>
        <v>10</v>
      </c>
      <c r="N16" s="34">
        <v>6</v>
      </c>
      <c r="O16" s="34">
        <f t="shared" si="4"/>
        <v>2</v>
      </c>
      <c r="P16" s="34">
        <v>2</v>
      </c>
      <c r="Q16" s="34">
        <f t="shared" si="5"/>
        <v>10</v>
      </c>
      <c r="R16" s="33" t="s">
        <v>51</v>
      </c>
      <c r="S16" s="33" t="s">
        <v>52</v>
      </c>
    </row>
    <row r="17" spans="1:19" x14ac:dyDescent="0.35">
      <c r="A17" s="33"/>
      <c r="B17" s="33" t="s">
        <v>53</v>
      </c>
      <c r="C17" s="33">
        <v>1</v>
      </c>
      <c r="D17" s="34" t="s">
        <v>119</v>
      </c>
      <c r="E17" s="35">
        <v>1.4</v>
      </c>
      <c r="F17" s="34">
        <v>6</v>
      </c>
      <c r="G17" s="34">
        <f t="shared" si="0"/>
        <v>1.4</v>
      </c>
      <c r="H17" s="34">
        <v>3</v>
      </c>
      <c r="I17" s="34">
        <f t="shared" si="1"/>
        <v>5.6</v>
      </c>
      <c r="J17" s="34">
        <v>4</v>
      </c>
      <c r="K17" s="34">
        <f t="shared" si="2"/>
        <v>4.1999999999999993</v>
      </c>
      <c r="L17" s="34">
        <v>5</v>
      </c>
      <c r="M17" s="34">
        <f t="shared" si="3"/>
        <v>2.8</v>
      </c>
      <c r="N17" s="34">
        <v>1</v>
      </c>
      <c r="O17" s="34">
        <f t="shared" si="4"/>
        <v>8.3999999999999986</v>
      </c>
      <c r="P17" s="34">
        <v>2</v>
      </c>
      <c r="Q17" s="34">
        <f t="shared" si="5"/>
        <v>7</v>
      </c>
      <c r="R17" s="33" t="s">
        <v>54</v>
      </c>
      <c r="S17" s="33" t="s">
        <v>55</v>
      </c>
    </row>
    <row r="18" spans="1:19" x14ac:dyDescent="0.35">
      <c r="A18" s="33"/>
      <c r="B18" s="33" t="s">
        <v>56</v>
      </c>
      <c r="C18" s="33">
        <v>1</v>
      </c>
      <c r="D18" s="34" t="s">
        <v>119</v>
      </c>
      <c r="E18" s="35">
        <v>2.7272727272727275</v>
      </c>
      <c r="F18" s="34">
        <v>6</v>
      </c>
      <c r="G18" s="34">
        <f t="shared" si="0"/>
        <v>2.7272727272727275</v>
      </c>
      <c r="H18" s="34">
        <v>4</v>
      </c>
      <c r="I18" s="34">
        <f t="shared" si="1"/>
        <v>8.1818181818181834</v>
      </c>
      <c r="J18" s="34">
        <v>3</v>
      </c>
      <c r="K18" s="34">
        <f t="shared" si="2"/>
        <v>10.90909090909091</v>
      </c>
      <c r="L18" s="34">
        <v>5</v>
      </c>
      <c r="M18" s="34">
        <f t="shared" si="3"/>
        <v>5.454545454545455</v>
      </c>
      <c r="N18" s="34">
        <v>1</v>
      </c>
      <c r="O18" s="34">
        <f t="shared" si="4"/>
        <v>16.363636363636367</v>
      </c>
      <c r="P18" s="34">
        <v>2</v>
      </c>
      <c r="Q18" s="34">
        <f t="shared" si="5"/>
        <v>13.636363636363637</v>
      </c>
      <c r="R18" s="33" t="s">
        <v>57</v>
      </c>
      <c r="S18" s="33"/>
    </row>
    <row r="19" spans="1:19" x14ac:dyDescent="0.35">
      <c r="A19" s="33" t="s">
        <v>58</v>
      </c>
      <c r="B19" s="33" t="s">
        <v>59</v>
      </c>
      <c r="C19" s="33">
        <v>1</v>
      </c>
      <c r="D19" s="34" t="s">
        <v>119</v>
      </c>
      <c r="E19" s="37">
        <v>0.53118447817242997</v>
      </c>
      <c r="F19" s="34">
        <v>6</v>
      </c>
      <c r="G19" s="34">
        <f t="shared" si="0"/>
        <v>0.53118447817242997</v>
      </c>
      <c r="H19" s="34">
        <v>2</v>
      </c>
      <c r="I19" s="34">
        <f t="shared" si="1"/>
        <v>2.6559223908621501</v>
      </c>
      <c r="J19" s="34">
        <v>4</v>
      </c>
      <c r="K19" s="34">
        <f t="shared" si="2"/>
        <v>1.5935534345172899</v>
      </c>
      <c r="L19" s="34">
        <v>5</v>
      </c>
      <c r="M19" s="34">
        <f t="shared" si="3"/>
        <v>1.0623689563448599</v>
      </c>
      <c r="N19" s="34">
        <v>1</v>
      </c>
      <c r="O19" s="34">
        <f t="shared" si="4"/>
        <v>3.1871068690345798</v>
      </c>
      <c r="P19" s="34">
        <v>3</v>
      </c>
      <c r="Q19" s="34">
        <f t="shared" si="5"/>
        <v>2.1247379126897199</v>
      </c>
      <c r="R19" s="33" t="s">
        <v>60</v>
      </c>
      <c r="S19" s="33"/>
    </row>
    <row r="20" spans="1:19" x14ac:dyDescent="0.35">
      <c r="A20" s="33"/>
      <c r="B20" s="33" t="s">
        <v>61</v>
      </c>
      <c r="C20" s="33">
        <v>4</v>
      </c>
      <c r="D20" s="34" t="s">
        <v>119</v>
      </c>
      <c r="E20" s="37">
        <v>0.86698420553560329</v>
      </c>
      <c r="F20" s="34">
        <v>3</v>
      </c>
      <c r="G20" s="34">
        <f t="shared" si="0"/>
        <v>13.871747288569653</v>
      </c>
      <c r="H20" s="34">
        <v>2</v>
      </c>
      <c r="I20" s="34">
        <f t="shared" si="1"/>
        <v>17.339684110712067</v>
      </c>
      <c r="J20" s="34">
        <v>4</v>
      </c>
      <c r="K20" s="34">
        <f t="shared" si="2"/>
        <v>10.40381046642724</v>
      </c>
      <c r="L20" s="34">
        <v>1</v>
      </c>
      <c r="M20" s="34">
        <f t="shared" si="3"/>
        <v>20.80762093285448</v>
      </c>
      <c r="N20" s="34">
        <v>6</v>
      </c>
      <c r="O20" s="34">
        <f t="shared" si="4"/>
        <v>3.4679368221424132</v>
      </c>
      <c r="P20" s="34">
        <v>5</v>
      </c>
      <c r="Q20" s="34">
        <f t="shared" si="5"/>
        <v>6.9358736442848263</v>
      </c>
      <c r="R20" s="33" t="s">
        <v>63</v>
      </c>
      <c r="S20" s="33"/>
    </row>
    <row r="21" spans="1:19" x14ac:dyDescent="0.35">
      <c r="A21" s="33"/>
      <c r="B21" s="33" t="s">
        <v>64</v>
      </c>
      <c r="C21" s="33">
        <v>3</v>
      </c>
      <c r="D21" s="34" t="s">
        <v>119</v>
      </c>
      <c r="E21" s="35">
        <v>2.4362431995650273</v>
      </c>
      <c r="F21" s="34">
        <v>6</v>
      </c>
      <c r="G21" s="34">
        <f t="shared" si="0"/>
        <v>7.3087295986950824</v>
      </c>
      <c r="H21" s="34">
        <v>2</v>
      </c>
      <c r="I21" s="34">
        <f t="shared" si="1"/>
        <v>36.54364799347541</v>
      </c>
      <c r="J21" s="34">
        <v>1</v>
      </c>
      <c r="K21" s="34">
        <f t="shared" si="2"/>
        <v>43.852377592170491</v>
      </c>
      <c r="L21" s="34">
        <v>5</v>
      </c>
      <c r="M21" s="34">
        <f t="shared" si="3"/>
        <v>14.617459197390165</v>
      </c>
      <c r="N21" s="34">
        <v>3</v>
      </c>
      <c r="O21" s="34">
        <f t="shared" si="4"/>
        <v>29.23491839478033</v>
      </c>
      <c r="P21" s="34">
        <v>4</v>
      </c>
      <c r="Q21" s="34">
        <f t="shared" si="5"/>
        <v>21.926188796085246</v>
      </c>
      <c r="R21" s="33" t="s">
        <v>65</v>
      </c>
      <c r="S21" s="33"/>
    </row>
    <row r="22" spans="1:19" x14ac:dyDescent="0.35">
      <c r="A22" s="33"/>
      <c r="B22" s="33" t="s">
        <v>66</v>
      </c>
      <c r="C22" s="33">
        <v>15</v>
      </c>
      <c r="D22" s="34" t="s">
        <v>119</v>
      </c>
      <c r="E22" s="37">
        <v>0.87381903387794235</v>
      </c>
      <c r="F22" s="34">
        <v>3</v>
      </c>
      <c r="G22" s="34">
        <f t="shared" si="0"/>
        <v>52.429142032676538</v>
      </c>
      <c r="H22" s="34">
        <v>1</v>
      </c>
      <c r="I22" s="34">
        <f t="shared" si="1"/>
        <v>78.643713049014806</v>
      </c>
      <c r="J22" s="34">
        <v>4</v>
      </c>
      <c r="K22" s="34">
        <f t="shared" si="2"/>
        <v>39.321856524507403</v>
      </c>
      <c r="L22" s="34">
        <v>2</v>
      </c>
      <c r="M22" s="34">
        <f t="shared" si="3"/>
        <v>65.536427540845679</v>
      </c>
      <c r="N22" s="34">
        <v>6</v>
      </c>
      <c r="O22" s="34">
        <f t="shared" si="4"/>
        <v>13.107285508169134</v>
      </c>
      <c r="P22" s="34">
        <v>5</v>
      </c>
      <c r="Q22" s="34">
        <f t="shared" si="5"/>
        <v>26.214571016338269</v>
      </c>
      <c r="R22" s="33" t="s">
        <v>67</v>
      </c>
      <c r="S22" s="33"/>
    </row>
    <row r="23" spans="1:19" x14ac:dyDescent="0.35">
      <c r="A23" s="33"/>
      <c r="B23" s="33" t="s">
        <v>68</v>
      </c>
      <c r="C23" s="33">
        <v>34</v>
      </c>
      <c r="D23" s="34" t="s">
        <v>119</v>
      </c>
      <c r="E23" s="37">
        <v>0.5276754651476584</v>
      </c>
      <c r="F23" s="34">
        <v>6</v>
      </c>
      <c r="G23" s="34">
        <f t="shared" si="0"/>
        <v>17.940965815020384</v>
      </c>
      <c r="H23" s="34">
        <v>4</v>
      </c>
      <c r="I23" s="34">
        <f t="shared" si="1"/>
        <v>53.822897445061159</v>
      </c>
      <c r="J23" s="34">
        <v>3</v>
      </c>
      <c r="K23" s="34">
        <f t="shared" si="2"/>
        <v>71.763863260081536</v>
      </c>
      <c r="L23" s="34">
        <v>5</v>
      </c>
      <c r="M23" s="34">
        <f t="shared" si="3"/>
        <v>35.881931630040768</v>
      </c>
      <c r="N23" s="34">
        <v>1</v>
      </c>
      <c r="O23" s="34">
        <f t="shared" si="4"/>
        <v>107.64579489012232</v>
      </c>
      <c r="P23" s="34">
        <v>2</v>
      </c>
      <c r="Q23" s="34">
        <f t="shared" si="5"/>
        <v>89.704829075101927</v>
      </c>
      <c r="R23" s="33" t="s">
        <v>69</v>
      </c>
      <c r="S23" s="33"/>
    </row>
    <row r="24" spans="1:19" x14ac:dyDescent="0.35">
      <c r="A24" s="33"/>
      <c r="B24" s="33" t="s">
        <v>70</v>
      </c>
      <c r="C24" s="33">
        <v>12</v>
      </c>
      <c r="D24" s="34" t="s">
        <v>119</v>
      </c>
      <c r="E24" s="35">
        <v>1.1131438951602439</v>
      </c>
      <c r="F24" s="34">
        <v>2</v>
      </c>
      <c r="G24" s="34">
        <f t="shared" si="0"/>
        <v>66.788633709614629</v>
      </c>
      <c r="H24" s="34">
        <v>4</v>
      </c>
      <c r="I24" s="34">
        <f t="shared" si="1"/>
        <v>40.07318022576878</v>
      </c>
      <c r="J24" s="34">
        <v>1</v>
      </c>
      <c r="K24" s="34">
        <f t="shared" si="2"/>
        <v>80.146360451537561</v>
      </c>
      <c r="L24" s="34">
        <v>3</v>
      </c>
      <c r="M24" s="34">
        <f t="shared" si="3"/>
        <v>53.430906967691712</v>
      </c>
      <c r="N24" s="34">
        <v>6</v>
      </c>
      <c r="O24" s="34">
        <f t="shared" si="4"/>
        <v>13.357726741922928</v>
      </c>
      <c r="P24" s="34">
        <v>5</v>
      </c>
      <c r="Q24" s="34">
        <f t="shared" si="5"/>
        <v>26.715453483845856</v>
      </c>
      <c r="R24" s="33" t="s">
        <v>71</v>
      </c>
      <c r="S24" s="33"/>
    </row>
    <row r="25" spans="1:19" x14ac:dyDescent="0.35">
      <c r="A25" s="33"/>
      <c r="B25" s="33" t="s">
        <v>72</v>
      </c>
      <c r="C25" s="33">
        <v>1</v>
      </c>
      <c r="D25" s="34" t="s">
        <v>119</v>
      </c>
      <c r="E25" s="36">
        <v>0</v>
      </c>
      <c r="F25" s="34">
        <v>1</v>
      </c>
      <c r="G25" s="34">
        <f t="shared" si="0"/>
        <v>0</v>
      </c>
      <c r="H25" s="34">
        <v>1</v>
      </c>
      <c r="I25" s="34">
        <f t="shared" si="1"/>
        <v>0</v>
      </c>
      <c r="J25" s="34">
        <v>1</v>
      </c>
      <c r="K25" s="34">
        <f t="shared" si="2"/>
        <v>0</v>
      </c>
      <c r="L25" s="34">
        <v>1</v>
      </c>
      <c r="M25" s="34">
        <f t="shared" si="3"/>
        <v>0</v>
      </c>
      <c r="N25" s="34">
        <v>1</v>
      </c>
      <c r="O25" s="34">
        <f t="shared" si="4"/>
        <v>0</v>
      </c>
      <c r="P25" s="34">
        <v>1</v>
      </c>
      <c r="Q25" s="34">
        <f t="shared" si="5"/>
        <v>0</v>
      </c>
      <c r="R25" s="33" t="s">
        <v>73</v>
      </c>
      <c r="S25" s="33" t="s">
        <v>74</v>
      </c>
    </row>
    <row r="26" spans="1:19" x14ac:dyDescent="0.35">
      <c r="A26" s="33" t="s">
        <v>75</v>
      </c>
      <c r="B26" s="33" t="s">
        <v>76</v>
      </c>
      <c r="C26" s="33">
        <v>16</v>
      </c>
      <c r="D26" s="34" t="s">
        <v>119</v>
      </c>
      <c r="E26" s="37">
        <v>0.66666666666666663</v>
      </c>
      <c r="F26" s="34">
        <v>6</v>
      </c>
      <c r="G26" s="34">
        <f t="shared" si="0"/>
        <v>10.666666666666666</v>
      </c>
      <c r="H26" s="34">
        <v>4</v>
      </c>
      <c r="I26" s="34">
        <f t="shared" si="1"/>
        <v>32</v>
      </c>
      <c r="J26" s="34">
        <v>2</v>
      </c>
      <c r="K26" s="34">
        <f t="shared" si="2"/>
        <v>53.333333333333329</v>
      </c>
      <c r="L26" s="34">
        <v>2</v>
      </c>
      <c r="M26" s="34">
        <f t="shared" si="3"/>
        <v>53.333333333333329</v>
      </c>
      <c r="N26" s="34">
        <v>1</v>
      </c>
      <c r="O26" s="34">
        <f t="shared" si="4"/>
        <v>64</v>
      </c>
      <c r="P26" s="34">
        <v>4</v>
      </c>
      <c r="Q26" s="34">
        <f t="shared" si="5"/>
        <v>32</v>
      </c>
      <c r="R26" s="33" t="s">
        <v>77</v>
      </c>
      <c r="S26" s="33"/>
    </row>
    <row r="27" spans="1:19" x14ac:dyDescent="0.35">
      <c r="A27" s="33" t="s">
        <v>78</v>
      </c>
      <c r="B27" s="33" t="s">
        <v>79</v>
      </c>
      <c r="C27" s="33">
        <v>1</v>
      </c>
      <c r="D27" s="34" t="s">
        <v>119</v>
      </c>
      <c r="E27" s="37">
        <v>0.72</v>
      </c>
      <c r="F27" s="34">
        <v>5</v>
      </c>
      <c r="G27" s="34">
        <f t="shared" si="0"/>
        <v>1.44</v>
      </c>
      <c r="H27" s="34">
        <v>5</v>
      </c>
      <c r="I27" s="34">
        <f t="shared" si="1"/>
        <v>1.44</v>
      </c>
      <c r="J27" s="34">
        <v>3</v>
      </c>
      <c r="K27" s="34">
        <f t="shared" si="2"/>
        <v>2.88</v>
      </c>
      <c r="L27" s="34">
        <v>2</v>
      </c>
      <c r="M27" s="34">
        <f t="shared" si="3"/>
        <v>3.5999999999999996</v>
      </c>
      <c r="N27" s="34">
        <v>1</v>
      </c>
      <c r="O27" s="34">
        <f t="shared" si="4"/>
        <v>4.32</v>
      </c>
      <c r="P27" s="34">
        <v>3</v>
      </c>
      <c r="Q27" s="34">
        <f t="shared" si="5"/>
        <v>2.88</v>
      </c>
      <c r="R27" s="33" t="s">
        <v>80</v>
      </c>
      <c r="S27" s="33" t="s">
        <v>81</v>
      </c>
    </row>
    <row r="28" spans="1:19" x14ac:dyDescent="0.35">
      <c r="A28" s="33"/>
      <c r="B28" s="33" t="s">
        <v>82</v>
      </c>
      <c r="C28" s="33">
        <v>1</v>
      </c>
      <c r="D28" s="34" t="s">
        <v>119</v>
      </c>
      <c r="E28" s="37">
        <v>0.6923076923076924</v>
      </c>
      <c r="F28" s="34">
        <v>6</v>
      </c>
      <c r="G28" s="34">
        <f t="shared" si="0"/>
        <v>0.6923076923076924</v>
      </c>
      <c r="H28" s="34">
        <v>3</v>
      </c>
      <c r="I28" s="34">
        <f t="shared" si="1"/>
        <v>2.7692307692307696</v>
      </c>
      <c r="J28" s="34">
        <v>3</v>
      </c>
      <c r="K28" s="34">
        <f t="shared" si="2"/>
        <v>2.7692307692307696</v>
      </c>
      <c r="L28" s="34">
        <v>3</v>
      </c>
      <c r="M28" s="34">
        <f t="shared" si="3"/>
        <v>2.7692307692307696</v>
      </c>
      <c r="N28" s="34">
        <v>1</v>
      </c>
      <c r="O28" s="34">
        <f t="shared" si="4"/>
        <v>4.1538461538461542</v>
      </c>
      <c r="P28" s="34">
        <v>2</v>
      </c>
      <c r="Q28" s="34">
        <f t="shared" si="5"/>
        <v>3.4615384615384621</v>
      </c>
      <c r="R28" s="33" t="s">
        <v>57</v>
      </c>
      <c r="S28" s="33"/>
    </row>
    <row r="29" spans="1:19" x14ac:dyDescent="0.35">
      <c r="A29" s="33"/>
      <c r="B29" s="33" t="s">
        <v>83</v>
      </c>
      <c r="C29" s="33">
        <v>3</v>
      </c>
      <c r="D29" s="34" t="s">
        <v>119</v>
      </c>
      <c r="E29" s="36">
        <v>0.42556390977443609</v>
      </c>
      <c r="F29" s="34">
        <v>6</v>
      </c>
      <c r="G29" s="34">
        <f t="shared" si="0"/>
        <v>1.2766917293233082</v>
      </c>
      <c r="H29" s="34">
        <v>3</v>
      </c>
      <c r="I29" s="34">
        <f t="shared" si="1"/>
        <v>5.1067669172932328</v>
      </c>
      <c r="J29" s="34">
        <v>1</v>
      </c>
      <c r="K29" s="34">
        <f t="shared" si="2"/>
        <v>7.6601503759398497</v>
      </c>
      <c r="L29" s="34">
        <v>5</v>
      </c>
      <c r="M29" s="34">
        <f t="shared" si="3"/>
        <v>2.5533834586466164</v>
      </c>
      <c r="N29" s="34">
        <v>2</v>
      </c>
      <c r="O29" s="34">
        <f t="shared" si="4"/>
        <v>6.3834586466165417</v>
      </c>
      <c r="P29" s="34">
        <v>4</v>
      </c>
      <c r="Q29" s="34">
        <f t="shared" si="5"/>
        <v>3.8300751879699249</v>
      </c>
      <c r="R29" s="33" t="s">
        <v>84</v>
      </c>
      <c r="S29" s="33"/>
    </row>
    <row r="30" spans="1:19" x14ac:dyDescent="0.35">
      <c r="A30" s="33"/>
      <c r="B30" s="33" t="s">
        <v>85</v>
      </c>
      <c r="C30" s="33">
        <v>5</v>
      </c>
      <c r="D30" s="34" t="s">
        <v>119</v>
      </c>
      <c r="E30" s="37">
        <v>0.76248433864327902</v>
      </c>
      <c r="F30" s="34">
        <v>6</v>
      </c>
      <c r="G30" s="34">
        <f t="shared" si="0"/>
        <v>3.812421693216395</v>
      </c>
      <c r="H30" s="34">
        <v>1</v>
      </c>
      <c r="I30" s="34">
        <f t="shared" si="1"/>
        <v>22.87453015929837</v>
      </c>
      <c r="J30" s="34">
        <v>4</v>
      </c>
      <c r="K30" s="34">
        <f t="shared" si="2"/>
        <v>11.437265079649185</v>
      </c>
      <c r="L30" s="34">
        <v>2</v>
      </c>
      <c r="M30" s="34">
        <f t="shared" si="3"/>
        <v>19.062108466081977</v>
      </c>
      <c r="N30" s="34">
        <v>3</v>
      </c>
      <c r="O30" s="34">
        <f t="shared" si="4"/>
        <v>15.24968677286558</v>
      </c>
      <c r="P30" s="34">
        <v>5</v>
      </c>
      <c r="Q30" s="34">
        <f t="shared" si="5"/>
        <v>7.62484338643279</v>
      </c>
      <c r="R30" s="33" t="s">
        <v>86</v>
      </c>
      <c r="S30" s="33"/>
    </row>
    <row r="31" spans="1:19" x14ac:dyDescent="0.35">
      <c r="A31" s="33"/>
      <c r="B31" s="33" t="s">
        <v>87</v>
      </c>
      <c r="C31" s="33">
        <v>1</v>
      </c>
      <c r="D31" s="34" t="s">
        <v>119</v>
      </c>
      <c r="E31" s="35">
        <v>1.0838709677419354</v>
      </c>
      <c r="F31" s="34">
        <v>6</v>
      </c>
      <c r="G31" s="34">
        <f t="shared" si="0"/>
        <v>1.0838709677419354</v>
      </c>
      <c r="H31" s="34">
        <v>4</v>
      </c>
      <c r="I31" s="34">
        <f t="shared" si="1"/>
        <v>3.2516129032258059</v>
      </c>
      <c r="J31" s="34">
        <v>2</v>
      </c>
      <c r="K31" s="34">
        <f t="shared" si="2"/>
        <v>5.419354838709677</v>
      </c>
      <c r="L31" s="34">
        <v>5</v>
      </c>
      <c r="M31" s="34">
        <f t="shared" si="3"/>
        <v>2.1677419354838707</v>
      </c>
      <c r="N31" s="34">
        <v>1</v>
      </c>
      <c r="O31" s="34">
        <f t="shared" si="4"/>
        <v>6.5032258064516117</v>
      </c>
      <c r="P31" s="34">
        <v>3</v>
      </c>
      <c r="Q31" s="34">
        <f t="shared" si="5"/>
        <v>4.3354838709677415</v>
      </c>
      <c r="R31" s="33" t="s">
        <v>88</v>
      </c>
      <c r="S31" s="33"/>
    </row>
    <row r="32" spans="1:19" x14ac:dyDescent="0.35">
      <c r="A32" s="33"/>
      <c r="B32" s="33" t="s">
        <v>89</v>
      </c>
      <c r="C32" s="33">
        <v>1</v>
      </c>
      <c r="D32" s="34" t="s">
        <v>119</v>
      </c>
      <c r="E32" s="37">
        <v>0.6923076923076924</v>
      </c>
      <c r="F32" s="34">
        <v>6</v>
      </c>
      <c r="G32" s="34">
        <f t="shared" si="0"/>
        <v>0.6923076923076924</v>
      </c>
      <c r="H32" s="34">
        <v>3</v>
      </c>
      <c r="I32" s="34">
        <f t="shared" si="1"/>
        <v>2.7692307692307696</v>
      </c>
      <c r="J32" s="34">
        <v>3</v>
      </c>
      <c r="K32" s="34">
        <f t="shared" si="2"/>
        <v>2.7692307692307696</v>
      </c>
      <c r="L32" s="34">
        <v>2</v>
      </c>
      <c r="M32" s="34">
        <f t="shared" si="3"/>
        <v>3.4615384615384621</v>
      </c>
      <c r="N32" s="34">
        <v>1</v>
      </c>
      <c r="O32" s="34">
        <f t="shared" si="4"/>
        <v>4.1538461538461542</v>
      </c>
      <c r="P32" s="34">
        <v>3</v>
      </c>
      <c r="Q32" s="34">
        <f t="shared" si="5"/>
        <v>2.7692307692307696</v>
      </c>
      <c r="R32" s="33" t="s">
        <v>90</v>
      </c>
      <c r="S32" s="33"/>
    </row>
    <row r="33" spans="1:53" x14ac:dyDescent="0.35">
      <c r="A33" s="33"/>
      <c r="B33" s="33" t="s">
        <v>91</v>
      </c>
      <c r="C33" s="33">
        <v>1</v>
      </c>
      <c r="D33" s="34" t="s">
        <v>119</v>
      </c>
      <c r="E33" s="37">
        <v>0.78260869565217384</v>
      </c>
      <c r="F33" s="34">
        <v>3</v>
      </c>
      <c r="G33" s="34">
        <f t="shared" si="0"/>
        <v>3.1304347826086953</v>
      </c>
      <c r="H33" s="34">
        <v>3</v>
      </c>
      <c r="I33" s="34">
        <f t="shared" si="1"/>
        <v>3.1304347826086953</v>
      </c>
      <c r="J33" s="34">
        <v>3</v>
      </c>
      <c r="K33" s="34">
        <f t="shared" si="2"/>
        <v>3.1304347826086953</v>
      </c>
      <c r="L33" s="34">
        <v>2</v>
      </c>
      <c r="M33" s="34">
        <f t="shared" si="3"/>
        <v>3.9130434782608692</v>
      </c>
      <c r="N33" s="34">
        <v>1</v>
      </c>
      <c r="O33" s="34">
        <f t="shared" si="4"/>
        <v>4.695652173913043</v>
      </c>
      <c r="P33" s="34">
        <v>3</v>
      </c>
      <c r="Q33" s="34">
        <f t="shared" si="5"/>
        <v>3.1304347826086953</v>
      </c>
      <c r="R33" s="33" t="s">
        <v>92</v>
      </c>
      <c r="S33" s="33" t="s">
        <v>93</v>
      </c>
    </row>
    <row r="34" spans="1:53" x14ac:dyDescent="0.35">
      <c r="A34" s="33"/>
      <c r="B34" s="33" t="s">
        <v>94</v>
      </c>
      <c r="C34" s="33">
        <v>7</v>
      </c>
      <c r="D34" s="34" t="s">
        <v>119</v>
      </c>
      <c r="E34" s="37">
        <v>0.59167699051504041</v>
      </c>
      <c r="F34" s="34">
        <v>6</v>
      </c>
      <c r="G34" s="34">
        <f t="shared" si="0"/>
        <v>4.141738933605283</v>
      </c>
      <c r="H34" s="34">
        <v>3</v>
      </c>
      <c r="I34" s="34">
        <f t="shared" si="1"/>
        <v>16.566955734421132</v>
      </c>
      <c r="J34" s="34">
        <v>4</v>
      </c>
      <c r="K34" s="34">
        <f t="shared" si="2"/>
        <v>12.425216800815848</v>
      </c>
      <c r="L34" s="34">
        <v>5</v>
      </c>
      <c r="M34" s="34">
        <f t="shared" si="3"/>
        <v>8.283477867210566</v>
      </c>
      <c r="N34" s="34">
        <v>1</v>
      </c>
      <c r="O34" s="34">
        <f t="shared" si="4"/>
        <v>24.850433601631696</v>
      </c>
      <c r="P34" s="34">
        <v>2</v>
      </c>
      <c r="Q34" s="34">
        <f t="shared" si="5"/>
        <v>20.708694668026414</v>
      </c>
      <c r="R34" s="33" t="s">
        <v>96</v>
      </c>
      <c r="S34" s="33"/>
    </row>
    <row r="35" spans="1:53" x14ac:dyDescent="0.35">
      <c r="A35" s="33"/>
      <c r="B35" s="33" t="s">
        <v>97</v>
      </c>
      <c r="C35" s="33">
        <v>3</v>
      </c>
      <c r="D35" s="34" t="s">
        <v>119</v>
      </c>
      <c r="E35" s="37">
        <v>0.62068965517241381</v>
      </c>
      <c r="F35" s="34">
        <v>6</v>
      </c>
      <c r="G35" s="34">
        <f t="shared" si="0"/>
        <v>1.8620689655172415</v>
      </c>
      <c r="H35" s="34">
        <v>3</v>
      </c>
      <c r="I35" s="34">
        <f t="shared" si="1"/>
        <v>7.4482758620689662</v>
      </c>
      <c r="J35" s="34">
        <v>1</v>
      </c>
      <c r="K35" s="34">
        <f t="shared" si="2"/>
        <v>11.172413793103448</v>
      </c>
      <c r="L35" s="34">
        <v>5</v>
      </c>
      <c r="M35" s="34">
        <f t="shared" si="3"/>
        <v>3.7241379310344831</v>
      </c>
      <c r="N35" s="34">
        <v>2</v>
      </c>
      <c r="O35" s="34">
        <f t="shared" si="4"/>
        <v>9.3103448275862064</v>
      </c>
      <c r="P35" s="34">
        <v>4</v>
      </c>
      <c r="Q35" s="34">
        <f t="shared" si="5"/>
        <v>5.5862068965517242</v>
      </c>
      <c r="R35" s="33" t="s">
        <v>98</v>
      </c>
      <c r="S35" s="33"/>
    </row>
    <row r="36" spans="1:53" s="18" customFormat="1" x14ac:dyDescent="0.35">
      <c r="A36" s="22"/>
      <c r="B36" s="22" t="s">
        <v>120</v>
      </c>
      <c r="C36" s="22"/>
      <c r="D36" s="38"/>
      <c r="E36" s="38"/>
      <c r="F36" s="22"/>
      <c r="G36" s="38">
        <f>SUM(G2:G35)</f>
        <v>378.25492099273589</v>
      </c>
      <c r="H36" s="22"/>
      <c r="I36" s="38">
        <f>SUM(I2:I35)</f>
        <v>743.9385792815566</v>
      </c>
      <c r="J36" s="22"/>
      <c r="K36" s="38">
        <f>SUM(K2:K35)</f>
        <v>879.38093309884039</v>
      </c>
      <c r="L36" s="22"/>
      <c r="M36" s="38">
        <f>SUM(M2:M35)</f>
        <v>563.79968267191816</v>
      </c>
      <c r="N36" s="22"/>
      <c r="O36" s="38">
        <f>SUM(O2:O35)</f>
        <v>804.55601771933345</v>
      </c>
      <c r="P36" s="22"/>
      <c r="Q36" s="38">
        <f>SUM(Q2:Q35)</f>
        <v>609.5629806883461</v>
      </c>
      <c r="R36" s="39" t="s">
        <v>121</v>
      </c>
      <c r="S36" s="2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</row>
    <row r="39" spans="1:53" x14ac:dyDescent="0.35">
      <c r="B39" s="19" t="s">
        <v>122</v>
      </c>
      <c r="C39" s="16" t="s">
        <v>99</v>
      </c>
    </row>
    <row r="40" spans="1:53" x14ac:dyDescent="0.35">
      <c r="B40" s="20" t="s">
        <v>123</v>
      </c>
      <c r="C40" s="16">
        <v>1</v>
      </c>
    </row>
    <row r="41" spans="1:53" x14ac:dyDescent="0.35">
      <c r="B41" s="21" t="s">
        <v>124</v>
      </c>
      <c r="C41" s="16">
        <v>2</v>
      </c>
    </row>
    <row r="42" spans="1:53" x14ac:dyDescent="0.35">
      <c r="B42" s="22" t="s">
        <v>125</v>
      </c>
      <c r="C42" s="16">
        <v>3</v>
      </c>
    </row>
    <row r="43" spans="1:53" x14ac:dyDescent="0.35">
      <c r="B43" s="23" t="s">
        <v>126</v>
      </c>
      <c r="C43" s="16">
        <v>4</v>
      </c>
    </row>
    <row r="44" spans="1:53" x14ac:dyDescent="0.35">
      <c r="B44" s="24" t="s">
        <v>127</v>
      </c>
      <c r="C44" s="16">
        <v>5</v>
      </c>
    </row>
    <row r="45" spans="1:53" x14ac:dyDescent="0.35">
      <c r="B45" s="25" t="s">
        <v>128</v>
      </c>
      <c r="C45" s="16">
        <v>6</v>
      </c>
    </row>
    <row r="48" spans="1:53" x14ac:dyDescent="0.35">
      <c r="B48" s="19" t="s">
        <v>129</v>
      </c>
      <c r="C48" s="16" t="s">
        <v>99</v>
      </c>
    </row>
    <row r="49" spans="2:3" x14ac:dyDescent="0.35">
      <c r="B49" s="26" t="s">
        <v>112</v>
      </c>
      <c r="C49" s="16" t="s">
        <v>113</v>
      </c>
    </row>
    <row r="50" spans="2:3" x14ac:dyDescent="0.35">
      <c r="B50" s="27" t="s">
        <v>114</v>
      </c>
      <c r="C50" s="16" t="s">
        <v>115</v>
      </c>
    </row>
    <row r="51" spans="2:3" x14ac:dyDescent="0.35">
      <c r="B51" s="28" t="s">
        <v>116</v>
      </c>
      <c r="C51" s="16" t="s">
        <v>117</v>
      </c>
    </row>
  </sheetData>
  <conditionalFormatting sqref="F2:F35 H2:H35 J2:J35 L2:L35 N2:N35 P2:P35">
    <cfRule type="cellIs" dxfId="19" priority="1" operator="equal">
      <formula>1</formula>
    </cfRule>
    <cfRule type="cellIs" dxfId="18" priority="2" operator="equal">
      <formula>2</formula>
    </cfRule>
    <cfRule type="cellIs" dxfId="17" priority="3" operator="equal">
      <formula>3</formula>
    </cfRule>
    <cfRule type="cellIs" dxfId="16" priority="4" operator="equal">
      <formula>4</formula>
    </cfRule>
    <cfRule type="cellIs" dxfId="15" priority="5" operator="equal">
      <formula>5</formula>
    </cfRule>
    <cfRule type="cellIs" dxfId="14" priority="6" operator="equal">
      <formula>6</formula>
    </cfRule>
    <cfRule type="cellIs" dxfId="13" priority="7" operator="equal">
      <formula>3</formula>
    </cfRule>
    <cfRule type="cellIs" dxfId="12" priority="8" operator="equal">
      <formula>5</formula>
    </cfRule>
    <cfRule type="cellIs" dxfId="11" priority="9" operator="equal">
      <formula>6</formula>
    </cfRule>
    <cfRule type="cellIs" dxfId="10" priority="15" operator="equal">
      <formula>1</formula>
    </cfRule>
    <cfRule type="cellIs" dxfId="9" priority="16" operator="equal">
      <formula>2</formula>
    </cfRule>
    <cfRule type="cellIs" dxfId="8" priority="17" operator="equal">
      <formula>3</formula>
    </cfRule>
    <cfRule type="cellIs" dxfId="7" priority="18" operator="equal">
      <formula>4</formula>
    </cfRule>
    <cfRule type="cellIs" dxfId="6" priority="19" operator="equal">
      <formula>5</formula>
    </cfRule>
    <cfRule type="cellIs" dxfId="5" priority="20" operator="equal">
      <formula>6</formula>
    </cfRule>
    <cfRule type="cellIs" dxfId="4" priority="21" operator="equal">
      <formula>6</formula>
    </cfRule>
  </conditionalFormatting>
  <conditionalFormatting sqref="E2:E35">
    <cfRule type="cellIs" dxfId="3" priority="10" operator="lessThan">
      <formula>0.5</formula>
    </cfRule>
    <cfRule type="cellIs" dxfId="2" priority="11" operator="between">
      <formula>0.5</formula>
      <formula>1</formula>
    </cfRule>
    <cfRule type="cellIs" dxfId="1" priority="12" operator="greaterThan">
      <formula>1</formula>
    </cfRule>
    <cfRule type="cellIs" priority="13" operator="lessThan">
      <formula>0.5</formula>
    </cfRule>
    <cfRule type="cellIs" dxfId="0" priority="14" operator="lessThan">
      <formula>"0,5"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DF6E-2474-4F6B-B902-F516B61AE008}">
  <dimension ref="A1:U29"/>
  <sheetViews>
    <sheetView tabSelected="1" zoomScale="74" zoomScaleNormal="70" workbookViewId="0">
      <pane xSplit="3" topLeftCell="D1" activePane="topRight" state="frozen"/>
      <selection pane="topRight" activeCell="F19" sqref="F19"/>
    </sheetView>
  </sheetViews>
  <sheetFormatPr defaultColWidth="22.7265625" defaultRowHeight="14.5" x14ac:dyDescent="0.35"/>
  <cols>
    <col min="1" max="1" width="16" style="7" customWidth="1"/>
    <col min="2" max="2" width="69" bestFit="1" customWidth="1"/>
    <col min="3" max="3" width="22.81640625" bestFit="1" customWidth="1"/>
    <col min="4" max="5" width="15" style="1" bestFit="1" customWidth="1"/>
    <col min="6" max="6" width="11.26953125" style="1" bestFit="1" customWidth="1"/>
    <col min="7" max="7" width="29.7265625" style="1" bestFit="1" customWidth="1"/>
    <col min="8" max="9" width="32.1796875" style="1" bestFit="1" customWidth="1"/>
    <col min="10" max="10" width="11.26953125" style="1" bestFit="1" customWidth="1"/>
    <col min="11" max="11" width="29.7265625" style="1" bestFit="1" customWidth="1"/>
    <col min="12" max="13" width="28.26953125" style="1" bestFit="1" customWidth="1"/>
    <col min="14" max="14" width="11.26953125" style="1" bestFit="1" customWidth="1"/>
    <col min="15" max="15" width="29.7265625" style="1" bestFit="1" customWidth="1"/>
    <col min="16" max="16" width="77.26953125" bestFit="1" customWidth="1"/>
    <col min="17" max="17" width="25" bestFit="1" customWidth="1"/>
    <col min="18" max="19" width="9.26953125" customWidth="1"/>
    <col min="20" max="20" width="77.26953125" bestFit="1" customWidth="1"/>
    <col min="21" max="21" width="26.81640625" bestFit="1" customWidth="1"/>
  </cols>
  <sheetData>
    <row r="1" spans="1:21" s="7" customFormat="1" x14ac:dyDescent="0.35">
      <c r="A1" s="5" t="s">
        <v>0</v>
      </c>
      <c r="B1" s="5" t="s">
        <v>1</v>
      </c>
      <c r="C1" s="5" t="s">
        <v>2</v>
      </c>
      <c r="D1" s="6" t="s">
        <v>140</v>
      </c>
      <c r="E1" s="6" t="s">
        <v>139</v>
      </c>
      <c r="F1" s="6" t="s">
        <v>135</v>
      </c>
      <c r="G1" s="6" t="s">
        <v>134</v>
      </c>
      <c r="H1" s="6" t="s">
        <v>138</v>
      </c>
      <c r="I1" s="6" t="s">
        <v>144</v>
      </c>
      <c r="J1" s="6" t="s">
        <v>135</v>
      </c>
      <c r="K1" s="6" t="s">
        <v>134</v>
      </c>
      <c r="L1" s="6" t="s">
        <v>137</v>
      </c>
      <c r="M1" s="6" t="s">
        <v>136</v>
      </c>
      <c r="N1" s="6" t="s">
        <v>135</v>
      </c>
      <c r="O1" s="6" t="s">
        <v>134</v>
      </c>
      <c r="P1" s="5" t="s">
        <v>11</v>
      </c>
      <c r="U1" s="7" t="s">
        <v>12</v>
      </c>
    </row>
    <row r="2" spans="1:21" x14ac:dyDescent="0.35">
      <c r="A2" s="5" t="s">
        <v>13</v>
      </c>
      <c r="B2" s="3" t="s">
        <v>14</v>
      </c>
      <c r="C2" s="3" t="s">
        <v>132</v>
      </c>
      <c r="D2" s="4">
        <v>3.88</v>
      </c>
      <c r="E2" s="4">
        <v>3.86</v>
      </c>
      <c r="F2" s="8">
        <f t="shared" ref="F2:F23" si="0">D2-E2</f>
        <v>2.0000000000000018E-2</v>
      </c>
      <c r="G2" s="43" t="s">
        <v>101</v>
      </c>
      <c r="H2" s="8">
        <v>4.92</v>
      </c>
      <c r="I2" s="8">
        <v>4.9000000000000004</v>
      </c>
      <c r="J2" s="8">
        <f t="shared" ref="J2:J23" si="1">H2-I2</f>
        <v>1.9999999999999574E-2</v>
      </c>
      <c r="K2" s="40" t="s">
        <v>101</v>
      </c>
      <c r="L2" s="4">
        <v>4.67</v>
      </c>
      <c r="M2" s="4">
        <v>4.75</v>
      </c>
      <c r="N2" s="8">
        <f t="shared" ref="N2:N23" si="2">L2-M2</f>
        <v>-8.0000000000000071E-2</v>
      </c>
      <c r="O2" s="41" t="s">
        <v>102</v>
      </c>
      <c r="P2" s="3" t="s">
        <v>16</v>
      </c>
    </row>
    <row r="3" spans="1:21" x14ac:dyDescent="0.35">
      <c r="A3" s="5"/>
      <c r="B3" s="3" t="s">
        <v>17</v>
      </c>
      <c r="C3" s="3" t="s">
        <v>132</v>
      </c>
      <c r="D3" s="4">
        <v>4.58</v>
      </c>
      <c r="E3" s="4">
        <v>4.57</v>
      </c>
      <c r="F3" s="8">
        <f t="shared" si="0"/>
        <v>9.9999999999997868E-3</v>
      </c>
      <c r="G3" s="43" t="s">
        <v>101</v>
      </c>
      <c r="H3" s="8">
        <v>5.42</v>
      </c>
      <c r="I3" s="8">
        <v>5.4</v>
      </c>
      <c r="J3" s="8">
        <f t="shared" si="1"/>
        <v>1.9999999999999574E-2</v>
      </c>
      <c r="K3" s="40" t="s">
        <v>101</v>
      </c>
      <c r="L3" s="4">
        <v>5.32</v>
      </c>
      <c r="M3" s="4">
        <v>5.34</v>
      </c>
      <c r="N3" s="8">
        <f t="shared" si="2"/>
        <v>-1.9999999999999574E-2</v>
      </c>
      <c r="O3" s="41" t="s">
        <v>102</v>
      </c>
      <c r="P3" s="3" t="s">
        <v>18</v>
      </c>
    </row>
    <row r="4" spans="1:21" x14ac:dyDescent="0.35">
      <c r="A4" s="5"/>
      <c r="B4" s="3" t="s">
        <v>19</v>
      </c>
      <c r="C4" s="3" t="s">
        <v>20</v>
      </c>
      <c r="D4" s="4">
        <v>20.09</v>
      </c>
      <c r="E4" s="4">
        <v>19.84</v>
      </c>
      <c r="F4" s="8">
        <f t="shared" si="0"/>
        <v>0.25</v>
      </c>
      <c r="G4" s="43" t="s">
        <v>101</v>
      </c>
      <c r="H4" s="8">
        <v>23.38</v>
      </c>
      <c r="I4" s="8">
        <v>23.35</v>
      </c>
      <c r="J4" s="8">
        <f t="shared" si="1"/>
        <v>2.9999999999997584E-2</v>
      </c>
      <c r="K4" s="40" t="s">
        <v>101</v>
      </c>
      <c r="L4" s="4">
        <v>22.36</v>
      </c>
      <c r="M4" s="4">
        <v>22.51</v>
      </c>
      <c r="N4" s="8">
        <f t="shared" si="2"/>
        <v>-0.15000000000000213</v>
      </c>
      <c r="O4" s="41" t="s">
        <v>102</v>
      </c>
      <c r="P4" s="3" t="s">
        <v>21</v>
      </c>
    </row>
    <row r="5" spans="1:21" x14ac:dyDescent="0.35">
      <c r="A5" s="5"/>
      <c r="B5" s="3" t="s">
        <v>22</v>
      </c>
      <c r="C5" s="3" t="s">
        <v>20</v>
      </c>
      <c r="D5" s="4">
        <f>8.39+5.76</f>
        <v>14.15</v>
      </c>
      <c r="E5" s="4">
        <f>8.37+5.81</f>
        <v>14.18</v>
      </c>
      <c r="F5" s="8">
        <f t="shared" si="0"/>
        <v>-2.9999999999999361E-2</v>
      </c>
      <c r="G5" s="44" t="s">
        <v>102</v>
      </c>
      <c r="H5" s="8">
        <f>12.02+5.81</f>
        <v>17.829999999999998</v>
      </c>
      <c r="I5" s="8">
        <v>17.810000000000002</v>
      </c>
      <c r="J5" s="8">
        <f t="shared" si="1"/>
        <v>1.9999999999996021E-2</v>
      </c>
      <c r="K5" s="40" t="s">
        <v>101</v>
      </c>
      <c r="L5" s="4">
        <f>11.37+5.55</f>
        <v>16.919999999999998</v>
      </c>
      <c r="M5" s="4">
        <v>17.09</v>
      </c>
      <c r="N5" s="8">
        <f t="shared" si="2"/>
        <v>-0.17000000000000171</v>
      </c>
      <c r="O5" s="41" t="s">
        <v>102</v>
      </c>
      <c r="P5" s="3" t="s">
        <v>23</v>
      </c>
    </row>
    <row r="6" spans="1:21" x14ac:dyDescent="0.35">
      <c r="A6" s="5"/>
      <c r="B6" s="3" t="s">
        <v>24</v>
      </c>
      <c r="C6" s="3" t="s">
        <v>25</v>
      </c>
      <c r="D6" s="4">
        <f>876+542</f>
        <v>1418</v>
      </c>
      <c r="E6" s="4">
        <f>871+554</f>
        <v>1425</v>
      </c>
      <c r="F6" s="8">
        <f t="shared" si="0"/>
        <v>-7</v>
      </c>
      <c r="G6" s="44" t="s">
        <v>102</v>
      </c>
      <c r="H6" s="8">
        <f>1527+881</f>
        <v>2408</v>
      </c>
      <c r="I6" s="8">
        <v>2385</v>
      </c>
      <c r="J6" s="8">
        <f t="shared" si="1"/>
        <v>23</v>
      </c>
      <c r="K6" s="40" t="s">
        <v>101</v>
      </c>
      <c r="L6" s="4">
        <f>1206+750</f>
        <v>1956</v>
      </c>
      <c r="M6" s="4">
        <v>1992</v>
      </c>
      <c r="N6" s="8">
        <f t="shared" si="2"/>
        <v>-36</v>
      </c>
      <c r="O6" s="41" t="s">
        <v>102</v>
      </c>
      <c r="P6" s="3" t="s">
        <v>26</v>
      </c>
    </row>
    <row r="7" spans="1:21" x14ac:dyDescent="0.35">
      <c r="A7" s="5"/>
      <c r="B7" s="3" t="s">
        <v>29</v>
      </c>
      <c r="C7" s="3" t="s">
        <v>30</v>
      </c>
      <c r="D7" s="4">
        <f>270.3+207.6+197.5+25.7+0+15.9</f>
        <v>717</v>
      </c>
      <c r="E7" s="4">
        <f>251.2+220+207.3+25.7+12.9+4.2</f>
        <v>721.30000000000007</v>
      </c>
      <c r="F7" s="8">
        <f t="shared" si="0"/>
        <v>-4.3000000000000682</v>
      </c>
      <c r="G7" s="43" t="s">
        <v>101</v>
      </c>
      <c r="H7" s="8">
        <v>0</v>
      </c>
      <c r="I7" s="8">
        <v>0</v>
      </c>
      <c r="J7" s="8">
        <f t="shared" si="1"/>
        <v>0</v>
      </c>
      <c r="K7" s="42">
        <v>0</v>
      </c>
      <c r="L7" s="4">
        <f>156.2+111.3+65.7+4.7</f>
        <v>337.9</v>
      </c>
      <c r="M7" s="4">
        <v>319</v>
      </c>
      <c r="N7" s="8">
        <f t="shared" si="2"/>
        <v>18.899999999999977</v>
      </c>
      <c r="O7" s="40" t="s">
        <v>101</v>
      </c>
      <c r="P7" s="3" t="s">
        <v>31</v>
      </c>
    </row>
    <row r="8" spans="1:21" x14ac:dyDescent="0.35">
      <c r="A8" s="5"/>
      <c r="B8" s="3" t="s">
        <v>32</v>
      </c>
      <c r="C8" s="3" t="s">
        <v>133</v>
      </c>
      <c r="D8" s="4">
        <v>1</v>
      </c>
      <c r="E8" s="4">
        <v>0</v>
      </c>
      <c r="F8" s="8">
        <f t="shared" si="0"/>
        <v>1</v>
      </c>
      <c r="G8" s="43" t="s">
        <v>101</v>
      </c>
      <c r="H8" s="8">
        <v>1</v>
      </c>
      <c r="I8" s="8">
        <v>0</v>
      </c>
      <c r="J8" s="8">
        <f t="shared" si="1"/>
        <v>1</v>
      </c>
      <c r="K8" s="40" t="s">
        <v>101</v>
      </c>
      <c r="L8" s="4">
        <v>1</v>
      </c>
      <c r="M8" s="4">
        <v>0</v>
      </c>
      <c r="N8" s="8">
        <f t="shared" si="2"/>
        <v>1</v>
      </c>
      <c r="O8" s="40" t="s">
        <v>101</v>
      </c>
      <c r="P8" s="3" t="s">
        <v>34</v>
      </c>
    </row>
    <row r="9" spans="1:21" x14ac:dyDescent="0.35">
      <c r="A9" s="5"/>
      <c r="B9" s="3" t="s">
        <v>35</v>
      </c>
      <c r="C9" s="3" t="s">
        <v>36</v>
      </c>
      <c r="D9" s="4">
        <f>5383+4259+4476</f>
        <v>14118</v>
      </c>
      <c r="E9" s="4">
        <f>5382+4471+4420</f>
        <v>14273</v>
      </c>
      <c r="F9" s="8">
        <f t="shared" si="0"/>
        <v>-155</v>
      </c>
      <c r="G9" s="44" t="s">
        <v>102</v>
      </c>
      <c r="H9" s="8">
        <v>0</v>
      </c>
      <c r="I9" s="8">
        <v>0</v>
      </c>
      <c r="J9" s="8">
        <f t="shared" si="1"/>
        <v>0</v>
      </c>
      <c r="K9" s="42">
        <v>0</v>
      </c>
      <c r="L9" s="4">
        <f>3050+1985+1468</f>
        <v>6503</v>
      </c>
      <c r="M9" s="4">
        <v>6132</v>
      </c>
      <c r="N9" s="8">
        <f t="shared" si="2"/>
        <v>371</v>
      </c>
      <c r="O9" s="40" t="s">
        <v>101</v>
      </c>
      <c r="P9" s="3" t="s">
        <v>37</v>
      </c>
    </row>
    <row r="10" spans="1:21" x14ac:dyDescent="0.35">
      <c r="A10" s="5" t="s">
        <v>41</v>
      </c>
      <c r="B10" s="3" t="s">
        <v>42</v>
      </c>
      <c r="C10" s="3" t="s">
        <v>132</v>
      </c>
      <c r="D10" s="4">
        <v>0.43099999999999999</v>
      </c>
      <c r="E10" s="4">
        <v>0.54300000000000004</v>
      </c>
      <c r="F10" s="8">
        <f t="shared" si="0"/>
        <v>-0.11200000000000004</v>
      </c>
      <c r="G10" s="44" t="s">
        <v>102</v>
      </c>
      <c r="H10" s="8">
        <v>0.72199999999999998</v>
      </c>
      <c r="I10" s="8">
        <v>0.72599999999999998</v>
      </c>
      <c r="J10" s="8">
        <f t="shared" si="1"/>
        <v>-4.0000000000000036E-3</v>
      </c>
      <c r="K10" s="41" t="s">
        <v>102</v>
      </c>
      <c r="L10" s="4">
        <v>0.59</v>
      </c>
      <c r="M10" s="4">
        <v>0.60299999999999998</v>
      </c>
      <c r="N10" s="8">
        <f t="shared" si="2"/>
        <v>-1.3000000000000012E-2</v>
      </c>
      <c r="O10" s="41" t="s">
        <v>102</v>
      </c>
      <c r="P10" s="3" t="s">
        <v>43</v>
      </c>
    </row>
    <row r="11" spans="1:21" x14ac:dyDescent="0.35">
      <c r="A11" s="5"/>
      <c r="B11" s="3" t="s">
        <v>44</v>
      </c>
      <c r="C11" s="3" t="s">
        <v>45</v>
      </c>
      <c r="D11" s="4">
        <v>145773</v>
      </c>
      <c r="E11" s="4">
        <v>146748</v>
      </c>
      <c r="F11" s="8">
        <f t="shared" si="0"/>
        <v>-975</v>
      </c>
      <c r="G11" s="44" t="s">
        <v>102</v>
      </c>
      <c r="H11" s="8">
        <v>183460</v>
      </c>
      <c r="I11" s="8">
        <v>182949</v>
      </c>
      <c r="J11" s="8">
        <f t="shared" si="1"/>
        <v>511</v>
      </c>
      <c r="K11" s="40" t="s">
        <v>101</v>
      </c>
      <c r="L11" s="4">
        <v>225453</v>
      </c>
      <c r="M11" s="4">
        <v>213123</v>
      </c>
      <c r="N11" s="8">
        <f t="shared" si="2"/>
        <v>12330</v>
      </c>
      <c r="O11" s="40" t="s">
        <v>101</v>
      </c>
      <c r="P11" s="3" t="s">
        <v>46</v>
      </c>
    </row>
    <row r="12" spans="1:21" x14ac:dyDescent="0.35">
      <c r="A12" s="5"/>
      <c r="B12" s="3" t="s">
        <v>47</v>
      </c>
      <c r="C12" s="3" t="s">
        <v>48</v>
      </c>
      <c r="D12" s="8">
        <f>D11/452723*100</f>
        <v>32.199159309334846</v>
      </c>
      <c r="E12" s="8">
        <f>E11/444745*100</f>
        <v>32.995986464153617</v>
      </c>
      <c r="F12" s="8">
        <f t="shared" si="0"/>
        <v>-0.79682715481877153</v>
      </c>
      <c r="G12" s="44" t="s">
        <v>102</v>
      </c>
      <c r="H12" s="8">
        <f>H11/537993*100</f>
        <v>34.100815438119078</v>
      </c>
      <c r="I12" s="8">
        <v>34.679447931258686</v>
      </c>
      <c r="J12" s="8">
        <f t="shared" si="1"/>
        <v>-0.57863249313960807</v>
      </c>
      <c r="K12" s="41" t="s">
        <v>102</v>
      </c>
      <c r="L12" s="4">
        <f>L11/606893*100</f>
        <v>37.148723086277151</v>
      </c>
      <c r="M12" s="4">
        <v>35.52393398028476</v>
      </c>
      <c r="N12" s="8">
        <f t="shared" si="2"/>
        <v>1.6247891059923916</v>
      </c>
      <c r="O12" s="40" t="s">
        <v>101</v>
      </c>
      <c r="P12" s="3" t="s">
        <v>49</v>
      </c>
    </row>
    <row r="13" spans="1:21" x14ac:dyDescent="0.35">
      <c r="A13" s="5"/>
      <c r="B13" s="3" t="s">
        <v>56</v>
      </c>
      <c r="C13" s="3" t="s">
        <v>132</v>
      </c>
      <c r="D13" s="4">
        <v>0.44</v>
      </c>
      <c r="E13" s="4">
        <v>0.43</v>
      </c>
      <c r="F13" s="8">
        <f t="shared" si="0"/>
        <v>1.0000000000000009E-2</v>
      </c>
      <c r="G13" s="43" t="s">
        <v>101</v>
      </c>
      <c r="H13" s="8">
        <v>0.53</v>
      </c>
      <c r="I13" s="8">
        <v>0.52</v>
      </c>
      <c r="J13" s="8">
        <f t="shared" si="1"/>
        <v>1.0000000000000009E-2</v>
      </c>
      <c r="K13" s="40" t="s">
        <v>101</v>
      </c>
      <c r="L13" s="4">
        <v>0.56999999999999995</v>
      </c>
      <c r="M13" s="4">
        <v>0.56999999999999995</v>
      </c>
      <c r="N13" s="8">
        <f t="shared" si="2"/>
        <v>0</v>
      </c>
      <c r="O13" s="42">
        <v>0</v>
      </c>
      <c r="P13" s="3" t="s">
        <v>57</v>
      </c>
    </row>
    <row r="14" spans="1:21" x14ac:dyDescent="0.35">
      <c r="A14" s="5" t="s">
        <v>58</v>
      </c>
      <c r="B14" s="3" t="s">
        <v>59</v>
      </c>
      <c r="C14" s="3" t="s">
        <v>20</v>
      </c>
      <c r="D14" s="4">
        <v>3.1379999999999999</v>
      </c>
      <c r="E14" s="4">
        <v>3.1520000000000001</v>
      </c>
      <c r="F14" s="8">
        <f t="shared" si="0"/>
        <v>-1.4000000000000234E-2</v>
      </c>
      <c r="G14" s="44" t="s">
        <v>102</v>
      </c>
      <c r="H14" s="8">
        <v>5.0410000000000004</v>
      </c>
      <c r="I14" s="8">
        <v>5.3220000000000001</v>
      </c>
      <c r="J14" s="8">
        <f t="shared" si="1"/>
        <v>-0.28099999999999969</v>
      </c>
      <c r="K14" s="41" t="s">
        <v>102</v>
      </c>
      <c r="L14" s="4">
        <v>5.4859999999999998</v>
      </c>
      <c r="M14" s="4">
        <v>5.0350000000000001</v>
      </c>
      <c r="N14" s="8">
        <f t="shared" si="2"/>
        <v>0.45099999999999962</v>
      </c>
      <c r="O14" s="40" t="s">
        <v>101</v>
      </c>
      <c r="P14" s="3" t="s">
        <v>60</v>
      </c>
    </row>
    <row r="15" spans="1:21" x14ac:dyDescent="0.35">
      <c r="A15" s="5"/>
      <c r="B15" s="3" t="s">
        <v>61</v>
      </c>
      <c r="C15" s="3" t="s">
        <v>62</v>
      </c>
      <c r="D15" s="4">
        <f>4945724+5033115+5182313</f>
        <v>15161152</v>
      </c>
      <c r="E15" s="4">
        <f>5147452+5074748+5055683</f>
        <v>15277883</v>
      </c>
      <c r="F15" s="8">
        <f t="shared" si="0"/>
        <v>-116731</v>
      </c>
      <c r="G15" s="44" t="s">
        <v>102</v>
      </c>
      <c r="H15" s="8">
        <f>4502213+4766896+4822701</f>
        <v>14091810</v>
      </c>
      <c r="I15" s="8">
        <v>14262839</v>
      </c>
      <c r="J15" s="8">
        <f t="shared" si="1"/>
        <v>-171029</v>
      </c>
      <c r="K15" s="41" t="s">
        <v>102</v>
      </c>
      <c r="L15" s="4">
        <f>3991782+3920496+3841171</f>
        <v>11753449</v>
      </c>
      <c r="M15" s="4">
        <v>11806588</v>
      </c>
      <c r="N15" s="8">
        <f t="shared" si="2"/>
        <v>-53139</v>
      </c>
      <c r="O15" s="41" t="s">
        <v>102</v>
      </c>
      <c r="P15" s="3" t="s">
        <v>63</v>
      </c>
    </row>
    <row r="16" spans="1:21" x14ac:dyDescent="0.35">
      <c r="A16" s="5"/>
      <c r="B16" s="3" t="s">
        <v>64</v>
      </c>
      <c r="C16" s="3" t="s">
        <v>62</v>
      </c>
      <c r="D16" s="4">
        <f>460028+402516+370553</f>
        <v>1233097</v>
      </c>
      <c r="E16" s="4">
        <f>442575+428428+369604</f>
        <v>1240607</v>
      </c>
      <c r="F16" s="8">
        <f t="shared" si="0"/>
        <v>-7510</v>
      </c>
      <c r="G16" s="43" t="s">
        <v>101</v>
      </c>
      <c r="H16" s="8">
        <f>54579+3108+0</f>
        <v>57687</v>
      </c>
      <c r="I16" s="8">
        <v>57687</v>
      </c>
      <c r="J16" s="8">
        <f t="shared" si="1"/>
        <v>0</v>
      </c>
      <c r="K16" s="42">
        <v>0</v>
      </c>
      <c r="L16" s="4">
        <f>277614+206369+127024</f>
        <v>611007</v>
      </c>
      <c r="M16" s="4">
        <v>576737</v>
      </c>
      <c r="N16" s="8">
        <f t="shared" si="2"/>
        <v>34270</v>
      </c>
      <c r="O16" s="41" t="s">
        <v>102</v>
      </c>
      <c r="P16" s="3" t="s">
        <v>65</v>
      </c>
    </row>
    <row r="17" spans="1:16" x14ac:dyDescent="0.35">
      <c r="A17" s="5"/>
      <c r="B17" s="3" t="s">
        <v>66</v>
      </c>
      <c r="C17" s="3" t="s">
        <v>62</v>
      </c>
      <c r="D17" s="4">
        <f>D15-D16</f>
        <v>13928055</v>
      </c>
      <c r="E17" s="4">
        <f>E15-E16</f>
        <v>14037276</v>
      </c>
      <c r="F17" s="8">
        <f t="shared" si="0"/>
        <v>-109221</v>
      </c>
      <c r="G17" s="44" t="s">
        <v>102</v>
      </c>
      <c r="H17" s="8">
        <f>H15-H16</f>
        <v>14034123</v>
      </c>
      <c r="I17" s="8">
        <v>14205152</v>
      </c>
      <c r="J17" s="8">
        <f t="shared" si="1"/>
        <v>-171029</v>
      </c>
      <c r="K17" s="41" t="s">
        <v>102</v>
      </c>
      <c r="L17" s="4">
        <f>L15-L16</f>
        <v>11142442</v>
      </c>
      <c r="M17" s="4">
        <v>11229851</v>
      </c>
      <c r="N17" s="8">
        <f t="shared" si="2"/>
        <v>-87409</v>
      </c>
      <c r="O17" s="41" t="s">
        <v>102</v>
      </c>
      <c r="P17" s="3" t="s">
        <v>67</v>
      </c>
    </row>
    <row r="18" spans="1:16" x14ac:dyDescent="0.35">
      <c r="A18" s="5"/>
      <c r="B18" s="3" t="s">
        <v>131</v>
      </c>
      <c r="C18" s="3" t="s">
        <v>62</v>
      </c>
      <c r="D18" s="4">
        <f>16007*1000</f>
        <v>16007000</v>
      </c>
      <c r="E18" s="4">
        <f>15767*1000</f>
        <v>15767000</v>
      </c>
      <c r="F18" s="8">
        <f t="shared" si="0"/>
        <v>240000</v>
      </c>
      <c r="G18" s="43" t="s">
        <v>101</v>
      </c>
      <c r="H18" s="8">
        <f>19232*1000</f>
        <v>19232000</v>
      </c>
      <c r="I18" s="8">
        <v>18861000</v>
      </c>
      <c r="J18" s="8">
        <f t="shared" si="1"/>
        <v>371000</v>
      </c>
      <c r="K18" s="40" t="s">
        <v>101</v>
      </c>
      <c r="L18" s="4">
        <f>21565*1000</f>
        <v>21565000</v>
      </c>
      <c r="M18" s="4">
        <v>21547000</v>
      </c>
      <c r="N18" s="8">
        <f t="shared" si="2"/>
        <v>18000</v>
      </c>
      <c r="O18" s="40" t="s">
        <v>101</v>
      </c>
      <c r="P18" s="3" t="s">
        <v>69</v>
      </c>
    </row>
    <row r="19" spans="1:16" x14ac:dyDescent="0.35">
      <c r="A19" s="5"/>
      <c r="B19" s="3" t="s">
        <v>70</v>
      </c>
      <c r="C19" s="3" t="s">
        <v>45</v>
      </c>
      <c r="D19" s="4">
        <v>10642</v>
      </c>
      <c r="E19" s="4">
        <f>2920+4270+4075</f>
        <v>11265</v>
      </c>
      <c r="F19" s="8">
        <f t="shared" si="0"/>
        <v>-623</v>
      </c>
      <c r="G19" s="44" t="s">
        <v>102</v>
      </c>
      <c r="H19" s="8">
        <f>2699+3250+2763</f>
        <v>8712</v>
      </c>
      <c r="I19" s="8">
        <v>9631</v>
      </c>
      <c r="J19" s="8">
        <f t="shared" si="1"/>
        <v>-919</v>
      </c>
      <c r="K19" s="41" t="s">
        <v>102</v>
      </c>
      <c r="L19" s="4">
        <f>3394+2730+2921</f>
        <v>9045</v>
      </c>
      <c r="M19" s="4">
        <v>9174</v>
      </c>
      <c r="N19" s="8">
        <f t="shared" si="2"/>
        <v>-129</v>
      </c>
      <c r="O19" s="41" t="s">
        <v>102</v>
      </c>
      <c r="P19" s="3" t="s">
        <v>71</v>
      </c>
    </row>
    <row r="20" spans="1:16" ht="29" x14ac:dyDescent="0.35">
      <c r="A20" s="9" t="s">
        <v>130</v>
      </c>
      <c r="B20" s="3" t="s">
        <v>83</v>
      </c>
      <c r="C20" s="3" t="s">
        <v>30</v>
      </c>
      <c r="D20" s="4">
        <v>418</v>
      </c>
      <c r="E20" s="4">
        <v>413</v>
      </c>
      <c r="F20" s="8">
        <f>D20-E20</f>
        <v>5</v>
      </c>
      <c r="G20" s="43" t="s">
        <v>101</v>
      </c>
      <c r="H20" s="8">
        <v>645</v>
      </c>
      <c r="I20" s="8">
        <v>646</v>
      </c>
      <c r="J20" s="8">
        <f>H20-I20</f>
        <v>-1</v>
      </c>
      <c r="K20" s="41" t="s">
        <v>102</v>
      </c>
      <c r="L20" s="4">
        <v>539</v>
      </c>
      <c r="M20" s="4">
        <v>579</v>
      </c>
      <c r="N20" s="8">
        <f>L20-M20</f>
        <v>-40</v>
      </c>
      <c r="O20" s="41" t="s">
        <v>102</v>
      </c>
      <c r="P20" s="3" t="s">
        <v>84</v>
      </c>
    </row>
    <row r="21" spans="1:16" x14ac:dyDescent="0.35">
      <c r="A21" s="5"/>
      <c r="B21" s="3" t="s">
        <v>85</v>
      </c>
      <c r="C21" s="3" t="s">
        <v>45</v>
      </c>
      <c r="D21" s="4">
        <v>4918</v>
      </c>
      <c r="E21" s="4">
        <v>4862</v>
      </c>
      <c r="F21" s="8">
        <f>D21-E21</f>
        <v>56</v>
      </c>
      <c r="G21" s="43" t="s">
        <v>101</v>
      </c>
      <c r="H21" s="8">
        <v>5534</v>
      </c>
      <c r="I21" s="8">
        <v>5520</v>
      </c>
      <c r="J21" s="8">
        <f t="shared" si="1"/>
        <v>14</v>
      </c>
      <c r="K21" s="40" t="s">
        <v>101</v>
      </c>
      <c r="L21" s="4">
        <v>5750</v>
      </c>
      <c r="M21" s="4">
        <v>5800</v>
      </c>
      <c r="N21" s="8">
        <f t="shared" si="2"/>
        <v>-50</v>
      </c>
      <c r="O21" s="41" t="s">
        <v>102</v>
      </c>
      <c r="P21" s="3" t="s">
        <v>86</v>
      </c>
    </row>
    <row r="22" spans="1:16" x14ac:dyDescent="0.35">
      <c r="A22" s="5"/>
      <c r="B22" s="3" t="s">
        <v>87</v>
      </c>
      <c r="C22" s="3" t="s">
        <v>45</v>
      </c>
      <c r="D22" s="4">
        <v>250</v>
      </c>
      <c r="E22" s="4">
        <v>262</v>
      </c>
      <c r="F22" s="8">
        <f t="shared" si="0"/>
        <v>-12</v>
      </c>
      <c r="G22" s="44" t="s">
        <v>102</v>
      </c>
      <c r="H22" s="8">
        <v>358</v>
      </c>
      <c r="I22" s="8">
        <v>358</v>
      </c>
      <c r="J22" s="8">
        <f t="shared" si="1"/>
        <v>0</v>
      </c>
      <c r="K22" s="42">
        <v>0</v>
      </c>
      <c r="L22" s="4">
        <v>310</v>
      </c>
      <c r="M22" s="4">
        <v>329</v>
      </c>
      <c r="N22" s="8">
        <f t="shared" si="2"/>
        <v>-19</v>
      </c>
      <c r="O22" s="41" t="s">
        <v>102</v>
      </c>
      <c r="P22" s="3" t="s">
        <v>88</v>
      </c>
    </row>
    <row r="23" spans="1:16" x14ac:dyDescent="0.35">
      <c r="A23" s="5"/>
      <c r="B23" s="3" t="s">
        <v>94</v>
      </c>
      <c r="C23" s="3" t="s">
        <v>95</v>
      </c>
      <c r="D23" s="4">
        <v>399172</v>
      </c>
      <c r="E23" s="4">
        <v>390024</v>
      </c>
      <c r="F23" s="8">
        <f t="shared" si="0"/>
        <v>9148</v>
      </c>
      <c r="G23" s="43" t="s">
        <v>101</v>
      </c>
      <c r="H23" s="8">
        <v>495293</v>
      </c>
      <c r="I23" s="8">
        <v>483167</v>
      </c>
      <c r="J23" s="8">
        <f t="shared" si="1"/>
        <v>12126</v>
      </c>
      <c r="K23" s="40" t="s">
        <v>101</v>
      </c>
      <c r="L23" s="4">
        <v>536686</v>
      </c>
      <c r="M23" s="4">
        <v>527999</v>
      </c>
      <c r="N23" s="8">
        <f t="shared" si="2"/>
        <v>8687</v>
      </c>
      <c r="O23" s="40" t="s">
        <v>101</v>
      </c>
      <c r="P23" s="3" t="s">
        <v>96</v>
      </c>
    </row>
    <row r="29" spans="1:16" x14ac:dyDescent="0.35">
      <c r="E2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AECFF2752E91F4697328BB50938CB7B" ma:contentTypeVersion="4" ma:contentTypeDescription="Luo uusi asiakirja." ma:contentTypeScope="" ma:versionID="88b74e10504a038efebc565e960ffb33">
  <xsd:schema xmlns:xsd="http://www.w3.org/2001/XMLSchema" xmlns:xs="http://www.w3.org/2001/XMLSchema" xmlns:p="http://schemas.microsoft.com/office/2006/metadata/properties" xmlns:ns2="d6485213-0b36-4a46-b669-815c22517823" xmlns:ns3="9af45b3e-bb1f-475e-b069-273074ab15bf" targetNamespace="http://schemas.microsoft.com/office/2006/metadata/properties" ma:root="true" ma:fieldsID="cd51b4a9c8575ab5d214a696ccc73922" ns2:_="" ns3:_="">
    <xsd:import namespace="d6485213-0b36-4a46-b669-815c22517823"/>
    <xsd:import namespace="9af45b3e-bb1f-475e-b069-273074ab1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85213-0b36-4a46-b669-815c22517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45b3e-bb1f-475e-b069-273074ab15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41531E-7CD5-4826-9810-85CA7B1C6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85213-0b36-4a46-b669-815c22517823"/>
    <ds:schemaRef ds:uri="9af45b3e-bb1f-475e-b069-273074ab1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80F4DF-DDC7-4289-94DA-9E7128F76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47957-FAA3-49F5-A3B3-4A7757BC082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af45b3e-bb1f-475e-b069-273074ab15bf"/>
    <ds:schemaRef ds:uri="d6485213-0b36-4a46-b669-815c2251782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MA</vt:lpstr>
      <vt:lpstr>BordaCount</vt:lpstr>
      <vt:lpstr>Korkolaskenta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Veli-Matti Lähteenmäki</dc:creator>
  <cp:keywords/>
  <dc:description/>
  <cp:lastModifiedBy>Meliina Partio</cp:lastModifiedBy>
  <cp:revision/>
  <cp:lastPrinted>2021-03-30T16:31:57Z</cp:lastPrinted>
  <dcterms:created xsi:type="dcterms:W3CDTF">2021-01-19T12:18:24Z</dcterms:created>
  <dcterms:modified xsi:type="dcterms:W3CDTF">2021-03-31T07:13:35Z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0x0101009AECFF2752E91F4697328BB50938CB7B</vt:lpwstr>
  </property>
</Properties>
</file>